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465" windowWidth="15480" windowHeight="10380" activeTab="0"/>
  </bookViews>
  <sheets>
    <sheet name="Лист1" sheetId="1" r:id="rId1"/>
    <sheet name="дод.3" sheetId="2" r:id="rId2"/>
  </sheets>
  <definedNames>
    <definedName name="_xlfn.AGGREGATE" hidden="1">#NAME?</definedName>
    <definedName name="_xlnm.Print_Titles" localSheetId="1">'дод.3'!$5:$12</definedName>
    <definedName name="_xlnm.Print_Area" localSheetId="1">'дод.3'!$A$1:$P$178</definedName>
  </definedNames>
  <calcPr fullCalcOnLoad="1"/>
</workbook>
</file>

<file path=xl/sharedStrings.xml><?xml version="1.0" encoding="utf-8"?>
<sst xmlns="http://schemas.openxmlformats.org/spreadsheetml/2006/main" count="513" uniqueCount="262">
  <si>
    <t>Загальний фонд</t>
  </si>
  <si>
    <t>Спеціальний фонд</t>
  </si>
  <si>
    <t>Разом</t>
  </si>
  <si>
    <t>Всього</t>
  </si>
  <si>
    <t>видатки споживання</t>
  </si>
  <si>
    <t>з них</t>
  </si>
  <si>
    <t>видатки розвитку</t>
  </si>
  <si>
    <t>оплата праці</t>
  </si>
  <si>
    <t>комунальні послуги та енергоносії</t>
  </si>
  <si>
    <t>Код функціональної класифікації видатків та кредитування бюджету</t>
  </si>
  <si>
    <t>010116</t>
  </si>
  <si>
    <t>бюджет розвитку</t>
  </si>
  <si>
    <t>Код тимчасової класифікації видатків та кредитування місцевого бюджету</t>
  </si>
  <si>
    <t>03</t>
  </si>
  <si>
    <t>010000</t>
  </si>
  <si>
    <t>080000</t>
  </si>
  <si>
    <t>080101</t>
  </si>
  <si>
    <t>080800</t>
  </si>
  <si>
    <t>081002</t>
  </si>
  <si>
    <t>090000</t>
  </si>
  <si>
    <t>090412</t>
  </si>
  <si>
    <t>090416</t>
  </si>
  <si>
    <t>090802</t>
  </si>
  <si>
    <t>091101</t>
  </si>
  <si>
    <t>091102</t>
  </si>
  <si>
    <t>100302</t>
  </si>
  <si>
    <t>150202</t>
  </si>
  <si>
    <t>160000</t>
  </si>
  <si>
    <t>160101</t>
  </si>
  <si>
    <t>250500</t>
  </si>
  <si>
    <t>10</t>
  </si>
  <si>
    <t>070000</t>
  </si>
  <si>
    <t>070101</t>
  </si>
  <si>
    <t>070201</t>
  </si>
  <si>
    <t>070401</t>
  </si>
  <si>
    <t>070802</t>
  </si>
  <si>
    <t>070804</t>
  </si>
  <si>
    <t>070808</t>
  </si>
  <si>
    <t>11</t>
  </si>
  <si>
    <t>091103</t>
  </si>
  <si>
    <t>091108</t>
  </si>
  <si>
    <t>15</t>
  </si>
  <si>
    <t>070303</t>
  </si>
  <si>
    <t>090201</t>
  </si>
  <si>
    <t>090202</t>
  </si>
  <si>
    <t>090203</t>
  </si>
  <si>
    <t>090204</t>
  </si>
  <si>
    <t>090207</t>
  </si>
  <si>
    <t>090208</t>
  </si>
  <si>
    <t>090209</t>
  </si>
  <si>
    <t>090210</t>
  </si>
  <si>
    <t>090211</t>
  </si>
  <si>
    <t>090212</t>
  </si>
  <si>
    <t>090214</t>
  </si>
  <si>
    <t>090215</t>
  </si>
  <si>
    <t>090216</t>
  </si>
  <si>
    <t>090302</t>
  </si>
  <si>
    <t>090303</t>
  </si>
  <si>
    <t>090304</t>
  </si>
  <si>
    <t>090305</t>
  </si>
  <si>
    <t>090306</t>
  </si>
  <si>
    <t>090307</t>
  </si>
  <si>
    <t>090308</t>
  </si>
  <si>
    <t>090401</t>
  </si>
  <si>
    <t>090405</t>
  </si>
  <si>
    <t>090406</t>
  </si>
  <si>
    <t>090417</t>
  </si>
  <si>
    <t>091204</t>
  </si>
  <si>
    <t>091205</t>
  </si>
  <si>
    <t>091206</t>
  </si>
  <si>
    <t>091207</t>
  </si>
  <si>
    <t>091209</t>
  </si>
  <si>
    <t>091300</t>
  </si>
  <si>
    <t>24</t>
  </si>
  <si>
    <t>250000</t>
  </si>
  <si>
    <t>250404</t>
  </si>
  <si>
    <t>29</t>
  </si>
  <si>
    <t>48</t>
  </si>
  <si>
    <t>67</t>
  </si>
  <si>
    <t>75</t>
  </si>
  <si>
    <t>250380</t>
  </si>
  <si>
    <t>76</t>
  </si>
  <si>
    <t>Виконавчий комітет Новокаховської міської ради</t>
  </si>
  <si>
    <t>Державне управлiння</t>
  </si>
  <si>
    <t>Органи мiсцевого самоврядування</t>
  </si>
  <si>
    <t>Охорона здоров`я</t>
  </si>
  <si>
    <t>Лікарні</t>
  </si>
  <si>
    <t>Центри первинної медичної (медико-санітарної) допомоги</t>
  </si>
  <si>
    <t>Iншi заходи по охоронi здоров`я</t>
  </si>
  <si>
    <t>Соцiальний захист та соцiальне забезпечення</t>
  </si>
  <si>
    <t>Iншi видатки на соціальний захист населення</t>
  </si>
  <si>
    <t>Iншi видатки на соціальний захист ветеранів війни та праці</t>
  </si>
  <si>
    <t>Інші програми соціального захисту дітей</t>
  </si>
  <si>
    <t>Утримання центрiв соцiальних служб для сім`ї, дітей та молоді</t>
  </si>
  <si>
    <t>Програми i заходи центрiв соцiальних служб для сім`ї, дітей та  молодi</t>
  </si>
  <si>
    <t>Житлово-комунальне господарство</t>
  </si>
  <si>
    <t>Благоустрiй мiст, сіл, селищ</t>
  </si>
  <si>
    <t>Комбінати комунальних підприємств, районні виробничі об'єднання та інші підприємства, установи та організації житлово-комунального господарства </t>
  </si>
  <si>
    <t>Засоби масової iнформацiї</t>
  </si>
  <si>
    <t>Телебачення i радiомовлення</t>
  </si>
  <si>
    <t>Перiодичнi видання (газети та журнали)</t>
  </si>
  <si>
    <t>Будiвництво</t>
  </si>
  <si>
    <t>Капiтальнi вкладення</t>
  </si>
  <si>
    <t>Розробка схем та проектних рішень масового застосування</t>
  </si>
  <si>
    <t>Сільське і лісове господарство, рибне господарство та мисливство</t>
  </si>
  <si>
    <t>Землеустрiй</t>
  </si>
  <si>
    <t>Транспорт, дорожнє господарство, зв`язок, телекомунiкацiї та iнформатика</t>
  </si>
  <si>
    <t>Видатки на проведення робіт, пов`язаних з будiвництвом, реконструкцiєю, ремонтом i утриманням автомобiльних дорiг</t>
  </si>
  <si>
    <t>Iншi послуги, пов`язанi з економiчною дiяльнiстю</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</si>
  <si>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</si>
  <si>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Цiльовi фонди</t>
  </si>
  <si>
    <t>Охорона та раціональне використання природних ресурсів</t>
  </si>
  <si>
    <t>Видатки, не вiднесенi до основних груп</t>
  </si>
  <si>
    <t>Іншi видатки</t>
  </si>
  <si>
    <t>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t>
  </si>
  <si>
    <t>Відділ освіти  Новокаховської міської ради</t>
  </si>
  <si>
    <t>Освiта</t>
  </si>
  <si>
    <t>Дошкiльнi заклади освiти</t>
  </si>
  <si>
    <t>Загальноосвiтнi школи (в т.ч. школа-дитячий садок, iнтернат при школi), спецiалiзованi школи, лiцеї, гiмназiї, колегiуми</t>
  </si>
  <si>
    <t>Позашкiльнi заклади освiти, заходи iз позашкiльної роботи з дiтьми</t>
  </si>
  <si>
    <t>Методична робота, iншi заходи у сфері народної освiти</t>
  </si>
  <si>
    <t>Централiзованi бухгалтерiї обласних, міських, районних відділів освіти</t>
  </si>
  <si>
    <t>Допомога дітям-сиротам та дітям, позбавленим батьківського піклування, яким виповнюється 18 років</t>
  </si>
  <si>
    <t>Фiзична культура i спорт</t>
  </si>
  <si>
    <t>Утримання та навчально-тренувальна робота дитячо-юнацьких спортивних шкiл</t>
  </si>
  <si>
    <t>Відділ у справах сім"ї, молоді, фізичної культури та спорту Новокаховської міської ради</t>
  </si>
  <si>
    <t>Соціальні програми i заходи державних органiв у справах молоді</t>
  </si>
  <si>
    <t>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</si>
  <si>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Проведення навчально-тренувальних зборiв i змагань</t>
  </si>
  <si>
    <t>Фiнансова пiдтримка спортивних споруд</t>
  </si>
  <si>
    <t>Iншi видатки</t>
  </si>
  <si>
    <t>Централiзованi бухгалтерiї</t>
  </si>
  <si>
    <t>Управління праці та соціального захисту населення</t>
  </si>
  <si>
    <t>Дитячi будинки (в т.ч. сiмейного типу, прийомнi сiм`ї)</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</si>
  <si>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</si>
  <si>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</si>
  <si>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</si>
  <si>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t>
  </si>
  <si>
    <t>Інші 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</si>
  <si>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</si>
  <si>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придбання твердого та рідкого пічного побутового палива</t>
  </si>
  <si>
    <t>Пільги на медичне обслуговування громадянам, які постраждали внаслідок Чорнобильської катастрофи</t>
  </si>
  <si>
    <t>Пільги окремим категоріям громадян з послуг зв`язку</t>
  </si>
  <si>
    <t>Пільги багатодітним сім`ям на житлово-комунальні  послуги</t>
  </si>
  <si>
    <t>Пільги багатодітним сім"ям на придбання твердого палива та скрапленого газу</t>
  </si>
  <si>
    <t>Допомога у зв`язку з вагітністю і пологами</t>
  </si>
  <si>
    <t>Допомога при народженні дитини</t>
  </si>
  <si>
    <t>Допомога на дітей, над якими встановлено опіку чи піклування</t>
  </si>
  <si>
    <t>Допомога на дітей одиноким матерям</t>
  </si>
  <si>
    <t>Тимчасова державна допомога дітям</t>
  </si>
  <si>
    <t>Допомога при усиновленні дитини</t>
  </si>
  <si>
    <t>Державна соціальна допомога малозабезпеченим сім`ям</t>
  </si>
  <si>
    <t>Субсидії населенню для відшкодування витрат на оплату житлово-комунальних послуг</t>
  </si>
  <si>
    <t>Субсидії населенню для відшкодування витрат на придбання твердого та рідкого пічного побутового палива і скрапленого газу</t>
  </si>
  <si>
    <t>Витрати на поховання учасників бойових дій та інвалідів війни</t>
  </si>
  <si>
    <t>Територiальнi центри соціального обслуговування (надання соціальних послуг)</t>
  </si>
  <si>
    <t>Виплати грошової компенсації фізичним особам, які надають соціальні послуги громадянам похилого віку, інвалідіам, дітясм - інвалідам, хворим, які не здатні до самообслуговування і потребують сторонньої допомоги</t>
  </si>
  <si>
    <t>Центри соціальної реабілітації дітей  інвалідів; центри професійної реабілітації інвалідів</t>
  </si>
  <si>
    <t>Пiльги, що надаються населенню (крiм ветеранiв вiйни i працi, військової служби, органів внутрішніх справ та громадян, які постраждали внаслідок Чорнобильської катастрофи), на оплату житлово-комунальних послуг i природного газу</t>
  </si>
  <si>
    <t>Фінансова підтримка громадських організацій інвалідів і ветеранів</t>
  </si>
  <si>
    <t>Державна соціальна допомога інвалідам з дитинства та дітям - інвалідам</t>
  </si>
  <si>
    <t>Коменсаційні виплати на пільговий проїзд автомобільним транспортом окремим категоріям громадян</t>
  </si>
  <si>
    <t>Компенсацiйнi виплати за пiльговий проїзд окремих категорiй громадян на залізничному транспорті</t>
  </si>
  <si>
    <t>Відділ культури і туризму Новокаховської міської ради</t>
  </si>
  <si>
    <t>Культура i мистецтво</t>
  </si>
  <si>
    <t>Фiлармонiї, музичнi колективи i ансамблi та iншi мистецькі  заклади та заходи</t>
  </si>
  <si>
    <t>Бiблiотеки</t>
  </si>
  <si>
    <t>Музеї i виставки</t>
  </si>
  <si>
    <t>Палаци i будинки культури, клуби та iншi заклади клубного типу</t>
  </si>
  <si>
    <t>Школи естетичного виховання дiтей</t>
  </si>
  <si>
    <t>Iншi культурно-освiтнi заклади та заходи</t>
  </si>
  <si>
    <t>Архівний відділ Новокаховської міської ради</t>
  </si>
  <si>
    <t>Управління містобудування та архітектури Новокаховської міської ради</t>
  </si>
  <si>
    <t>Управління з питань надзвичайних ситуацій іта цивільного захисту населення  Новокаховської міської ради</t>
  </si>
  <si>
    <t>Фінансове управління  Новокаховської міської ради</t>
  </si>
  <si>
    <t>Інші субвенції</t>
  </si>
  <si>
    <t>Таврійська міська рада</t>
  </si>
  <si>
    <t>Дніпрянська селищна рада</t>
  </si>
  <si>
    <t>Райська сільська рада</t>
  </si>
  <si>
    <t>Резервний фонд</t>
  </si>
  <si>
    <t>090413</t>
  </si>
  <si>
    <t>Допомога на догляд за інвалідом І чи ІІ групи внаслідок психічного розладу</t>
  </si>
  <si>
    <t>090407</t>
  </si>
  <si>
    <t>Компенсація населенню додаткових витрат на оплату поалуг газопостачання центрального опалення та централізованого постачання гарячої води</t>
  </si>
  <si>
    <t>100102</t>
  </si>
  <si>
    <t>Капітальний ремонт житлового фонду місцевих органів влади</t>
  </si>
  <si>
    <t>ВСЬОГО:</t>
  </si>
  <si>
    <t>у  тому числі на утримання сільських, селищних та міських палаців і будинків культури, клубів</t>
  </si>
  <si>
    <t>0111</t>
  </si>
  <si>
    <t>0731</t>
  </si>
  <si>
    <t>0726</t>
  </si>
  <si>
    <t>0763</t>
  </si>
  <si>
    <t>1090</t>
  </si>
  <si>
    <t>1030</t>
  </si>
  <si>
    <t>1040</t>
  </si>
  <si>
    <t>0610</t>
  </si>
  <si>
    <t>0620</t>
  </si>
  <si>
    <t>0830</t>
  </si>
  <si>
    <t>0490</t>
  </si>
  <si>
    <t>0443</t>
  </si>
  <si>
    <t>0421</t>
  </si>
  <si>
    <t>0456</t>
  </si>
  <si>
    <t>0511</t>
  </si>
  <si>
    <t>0133</t>
  </si>
  <si>
    <t>0910</t>
  </si>
  <si>
    <t>0921</t>
  </si>
  <si>
    <t>0960</t>
  </si>
  <si>
    <t>0990</t>
  </si>
  <si>
    <t>0810</t>
  </si>
  <si>
    <t>0822</t>
  </si>
  <si>
    <t>0824</t>
  </si>
  <si>
    <t>0828</t>
  </si>
  <si>
    <t>0829</t>
  </si>
  <si>
    <t>0180</t>
  </si>
  <si>
    <t xml:space="preserve">осіб начальницького складу податкової міліції, рядового і начальницького складу кримінально-виконавчої системи,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військовослужбовців Державної служби спеціального зв"язку та захисту інформації України,  які загинули (померли) або пропали безвісти під час проходження військової служби; батькам та членам сімей осіб рядового і начальницького складу  служби  цивільного захисту, які загинули (померли) або зникли безвісти під час виконання службових обов"язків на житлово - комунальні послуги. </t>
  </si>
  <si>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 -виконавчої служби , ветеранам служби цивільного захисту, ветеранам Державної служби спеціального зв'язку та захисту інформації України, вдовам (вдівцям) померлих (загаблих)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 - 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через хворобу або  за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пенсіонерам з числа слідчих прокуратури;  дітям (до досягнення повноліття) працівників міліції, </t>
  </si>
  <si>
    <t>Допомога до досягнення  дитиною  трирічного віку</t>
  </si>
  <si>
    <t>Додаток № 3
до рішення  _і-ої сесії 
міської ради  _-го  скликання</t>
  </si>
  <si>
    <t>Секретар міської ради</t>
  </si>
  <si>
    <t>О.В.Лук"яненко</t>
  </si>
  <si>
    <t>грн.</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</si>
  <si>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 - комунальні послуги</t>
  </si>
  <si>
    <r>
      <t>Найменування
згідно з типовою відомчою/</t>
    </r>
    <r>
      <rPr>
        <sz val="10"/>
        <rFont val="Times New Roman"/>
        <family val="1"/>
      </rPr>
      <t>тимчасовою класифікацією видатків та кредитування місцевого бюджету</t>
    </r>
  </si>
  <si>
    <t xml:space="preserve">Код типової відомчої класифікації місцевого бюджету </t>
  </si>
  <si>
    <t>Розподіл видатків міського бюджету за головними розпорядниками коштів на 2016 рік</t>
  </si>
  <si>
    <t>у  тому числі на дошкільну освіту</t>
  </si>
  <si>
    <t>в тому числі медична субвенція з державного бюджету</t>
  </si>
  <si>
    <t>в тому числі освітня субвенція з державного бюджету</t>
  </si>
  <si>
    <t>в тому числі за рахунок коштів міського бюджету</t>
  </si>
  <si>
    <t>від_______2016 р. №______</t>
  </si>
  <si>
    <t>100202</t>
  </si>
  <si>
    <t>Водопровідно-каналізаційне господарство </t>
  </si>
  <si>
    <t>060000</t>
  </si>
  <si>
    <t>061007</t>
  </si>
  <si>
    <r>
      <t>Правоохоронна діяльність та забезпечення безпеки держави</t>
    </r>
    <r>
      <rPr>
        <sz val="12"/>
        <color indexed="63"/>
        <rFont val="Times New Roman"/>
        <family val="1"/>
      </rPr>
      <t> </t>
    </r>
  </si>
  <si>
    <t>0380</t>
  </si>
  <si>
    <t>Інші правоохоронні заходи і заклади </t>
  </si>
  <si>
    <t>енерго</t>
  </si>
  <si>
    <t>детские</t>
  </si>
  <si>
    <t>тв паливо</t>
  </si>
  <si>
    <t>інша</t>
  </si>
  <si>
    <t xml:space="preserve">власні доходи </t>
  </si>
  <si>
    <t>нерозподілений резерв</t>
  </si>
  <si>
    <t>сиртоти</t>
  </si>
  <si>
    <t>Залишок коштів, у тому числі на утримння професійно - технічних училищ</t>
  </si>
  <si>
    <t>Гімназія</t>
  </si>
  <si>
    <t>ЗОШ № 1</t>
  </si>
  <si>
    <t>НВК № 2</t>
  </si>
  <si>
    <t>ЗОШ № 3</t>
  </si>
  <si>
    <t>ЗОШ № 4</t>
  </si>
  <si>
    <t>ЗОШ № 5</t>
  </si>
  <si>
    <t>ЗОШ № 6</t>
  </si>
  <si>
    <t>ЗОШ № 7</t>
  </si>
  <si>
    <t>ЗОШ № 8</t>
  </si>
  <si>
    <t>ЗОШ № 10</t>
  </si>
  <si>
    <t>НКТЕЛ</t>
  </si>
  <si>
    <t>Дніпрянська ЗОШ</t>
  </si>
  <si>
    <t>Маслівська ЗОШ</t>
  </si>
  <si>
    <t>Корсунська ЗОШ</t>
  </si>
  <si>
    <t>Розподіл видатків міського бюджету за розпорядниками коштів нижчого рівня відділу освіти Новокаховської міської ради на 2016 рік</t>
  </si>
  <si>
    <t>від 04.08.2016 р. № 398</t>
  </si>
  <si>
    <t xml:space="preserve">Додаток 
до рішення сесії Новокаховської
міської ради  7-го  скликання </t>
  </si>
</sst>
</file>

<file path=xl/styles.xml><?xml version="1.0" encoding="utf-8"?>
<styleSheet xmlns="http://schemas.openxmlformats.org/spreadsheetml/2006/main">
  <numFmts count="4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 #,##0;* \-#,##0;* &quot;-&quot;;@"/>
    <numFmt numFmtId="181" formatCode="* #,##0.00;* \-#,##0.00;* &quot;-&quot;??;@"/>
    <numFmt numFmtId="182" formatCode="* _-#,##0&quot;р.&quot;;* \-#,##0&quot;р.&quot;;* _-&quot;-&quot;&quot;р.&quot;;@"/>
    <numFmt numFmtId="183" formatCode="* _-#,##0.00&quot;р.&quot;;* \-#,##0.00&quot;р.&quot;;* _-&quot;-&quot;??&quot;р.&quot;;@"/>
    <numFmt numFmtId="184" formatCode="#,##0.0"/>
    <numFmt numFmtId="185" formatCode="#,##0_ ;[Red]\-#,##0\ "/>
    <numFmt numFmtId="186" formatCode="#,##0.0_ ;[Red]\-#,##0.0\ "/>
    <numFmt numFmtId="187" formatCode="0.0"/>
    <numFmt numFmtId="188" formatCode="0.0000"/>
    <numFmt numFmtId="189" formatCode="#,##0.0000"/>
    <numFmt numFmtId="190" formatCode="00000000000"/>
    <numFmt numFmtId="191" formatCode="&quot;Так&quot;;&quot;Так&quot;;&quot;Ні&quot;"/>
    <numFmt numFmtId="192" formatCode="&quot;Істина&quot;;&quot;Істина&quot;;&quot;Хибність&quot;"/>
    <numFmt numFmtId="193" formatCode="&quot;Увімк&quot;;&quot;Увімк&quot;;&quot;Вимк&quot;"/>
    <numFmt numFmtId="194" formatCode="[$-FC19]d\ mmmm\ yyyy\ &quot;г.&quot;"/>
    <numFmt numFmtId="195" formatCode="&quot;True&quot;;&quot;True&quot;;&quot;False&quot;"/>
    <numFmt numFmtId="196" formatCode="[$¥€-2]\ ###,000_);[Red]\([$€-2]\ ###,000\)"/>
    <numFmt numFmtId="197" formatCode="&quot;Да&quot;;&quot;Да&quot;;&quot;Нет&quot;"/>
    <numFmt numFmtId="198" formatCode="&quot;Истина&quot;;&quot;Истина&quot;;&quot;Ложь&quot;"/>
    <numFmt numFmtId="199" formatCode="&quot;Вкл&quot;;&quot;Вкл&quot;;&quot;Выкл&quot;"/>
    <numFmt numFmtId="200" formatCode="[$€-2]\ ###,000_);[Red]\([$€-2]\ ###,000\)"/>
  </numFmts>
  <fonts count="45">
    <font>
      <sz val="10"/>
      <name val="Times New Roman"/>
      <family val="0"/>
    </font>
    <font>
      <b/>
      <sz val="10"/>
      <name val="Arial"/>
      <family val="0"/>
    </font>
    <font>
      <i/>
      <sz val="10"/>
      <name val="Arial"/>
      <family val="0"/>
    </font>
    <font>
      <b/>
      <i/>
      <sz val="10"/>
      <name val="Arial"/>
      <family val="0"/>
    </font>
    <font>
      <sz val="8"/>
      <name val="Times New Roman"/>
      <family val="0"/>
    </font>
    <font>
      <b/>
      <sz val="10"/>
      <name val="Times New Roman"/>
      <family val="0"/>
    </font>
    <font>
      <i/>
      <sz val="10"/>
      <name val="Times New Roman"/>
      <family val="0"/>
    </font>
    <font>
      <b/>
      <sz val="14"/>
      <name val="Times New Roman"/>
      <family val="0"/>
    </font>
    <font>
      <sz val="11"/>
      <color indexed="17"/>
      <name val="Calibri"/>
      <family val="2"/>
    </font>
    <font>
      <sz val="11"/>
      <color indexed="20"/>
      <name val="Calibri"/>
      <family val="2"/>
    </font>
    <font>
      <sz val="11"/>
      <color indexed="62"/>
      <name val="Calibri"/>
      <family val="2"/>
    </font>
    <font>
      <b/>
      <sz val="11"/>
      <color indexed="63"/>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1"/>
      <color indexed="52"/>
      <name val="Calibri"/>
      <family val="2"/>
    </font>
    <font>
      <b/>
      <sz val="18"/>
      <color indexed="56"/>
      <name val="Cambria"/>
      <family val="2"/>
    </font>
    <font>
      <sz val="11"/>
      <color indexed="60"/>
      <name val="Calibri"/>
      <family val="2"/>
    </font>
    <font>
      <sz val="11"/>
      <color indexed="52"/>
      <name val="Calibri"/>
      <family val="2"/>
    </font>
    <font>
      <sz val="10"/>
      <name val="Helv"/>
      <family val="0"/>
    </font>
    <font>
      <sz val="10"/>
      <name val="Arial Cyr"/>
      <family val="0"/>
    </font>
    <font>
      <u val="single"/>
      <sz val="10"/>
      <color indexed="12"/>
      <name val="Arial"/>
      <family val="0"/>
    </font>
    <font>
      <sz val="10"/>
      <name val="Courier New"/>
      <family val="3"/>
    </font>
    <font>
      <u val="single"/>
      <sz val="10"/>
      <color indexed="36"/>
      <name val="Arial"/>
      <family val="0"/>
    </font>
    <font>
      <b/>
      <sz val="10"/>
      <name val="Arial Cyr"/>
      <family val="0"/>
    </font>
    <font>
      <sz val="12"/>
      <name val="Times New Roman"/>
      <family val="1"/>
    </font>
    <font>
      <sz val="11"/>
      <name val="Times New Roman"/>
      <family val="1"/>
    </font>
    <font>
      <sz val="10"/>
      <color indexed="8"/>
      <name val="ARIAL"/>
      <family val="0"/>
    </font>
    <font>
      <b/>
      <sz val="18"/>
      <color indexed="62"/>
      <name val="Cambria"/>
      <family val="2"/>
    </font>
    <font>
      <b/>
      <sz val="11"/>
      <color indexed="10"/>
      <name val="Calibri"/>
      <family val="2"/>
    </font>
    <font>
      <sz val="11"/>
      <color indexed="19"/>
      <name val="Calibri"/>
      <family val="2"/>
    </font>
    <font>
      <sz val="10"/>
      <color indexed="8"/>
      <name val="Arial"/>
      <family val="2"/>
    </font>
    <font>
      <sz val="13"/>
      <name val="Times New Roman"/>
      <family val="0"/>
    </font>
    <font>
      <b/>
      <sz val="13"/>
      <name val="Times New Roman"/>
      <family val="0"/>
    </font>
    <font>
      <sz val="10"/>
      <color indexed="8"/>
      <name val="Times New Roman"/>
      <family val="1"/>
    </font>
    <font>
      <b/>
      <sz val="12"/>
      <name val="Times New Roman"/>
      <family val="1"/>
    </font>
    <font>
      <b/>
      <sz val="12"/>
      <color indexed="63"/>
      <name val="Times New Roman"/>
      <family val="1"/>
    </font>
    <font>
      <sz val="12"/>
      <color indexed="63"/>
      <name val="Times New Roman"/>
      <family val="1"/>
    </font>
    <font>
      <b/>
      <sz val="15"/>
      <color indexed="62"/>
      <name val="Calibri"/>
      <family val="2"/>
    </font>
    <font>
      <b/>
      <sz val="13"/>
      <color indexed="62"/>
      <name val="Calibri"/>
      <family val="2"/>
    </font>
    <font>
      <b/>
      <sz val="11"/>
      <color indexed="62"/>
      <name val="Calibri"/>
      <family val="2"/>
    </font>
    <font>
      <sz val="9"/>
      <name val="Times New Roman"/>
      <family val="0"/>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11"/>
        <bgColor indexed="64"/>
      </patternFill>
    </fill>
    <fill>
      <patternFill patternType="solid">
        <fgColor indexed="51"/>
        <bgColor indexed="64"/>
      </patternFill>
    </fill>
    <fill>
      <patternFill patternType="solid">
        <fgColor indexed="4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6"/>
        <bgColor indexed="64"/>
      </patternFill>
    </fill>
    <fill>
      <patternFill patternType="solid">
        <fgColor indexed="54"/>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
      <patternFill patternType="solid">
        <fgColor indexed="13"/>
        <bgColor indexed="64"/>
      </patternFill>
    </fill>
  </fills>
  <borders count="39">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color indexed="63"/>
      </left>
      <right>
        <color indexed="63"/>
      </right>
      <top style="thin">
        <color indexed="56"/>
      </top>
      <bottom style="double">
        <color indexed="56"/>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style="thin"/>
      <bottom style="thin"/>
    </border>
    <border>
      <left style="thin"/>
      <right>
        <color indexed="63"/>
      </right>
      <top style="thin"/>
      <bottom style="thin"/>
    </border>
    <border>
      <left style="thin"/>
      <right>
        <color indexed="63"/>
      </right>
      <top style="thin"/>
      <bottom style="medium"/>
    </border>
    <border>
      <left style="medium"/>
      <right style="thin"/>
      <top style="thin"/>
      <bottom style="thin"/>
    </border>
    <border>
      <left style="thin"/>
      <right style="medium"/>
      <top style="thin"/>
      <bottom style="thin"/>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color indexed="63"/>
      </left>
      <right>
        <color indexed="63"/>
      </right>
      <top style="thin"/>
      <bottom>
        <color indexed="63"/>
      </bottom>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thin"/>
      <right style="thin"/>
      <top style="medium"/>
      <bottom>
        <color indexed="63"/>
      </bottom>
    </border>
    <border>
      <left style="thin"/>
      <right style="thin"/>
      <top>
        <color indexed="63"/>
      </top>
      <bottom style="medium"/>
    </border>
    <border>
      <left style="thin"/>
      <right style="thin"/>
      <top style="thin"/>
      <bottom>
        <color indexed="63"/>
      </bottom>
    </border>
    <border>
      <left style="medium"/>
      <right style="thin"/>
      <top style="thin"/>
      <bottom>
        <color indexed="63"/>
      </bottom>
    </border>
    <border>
      <left style="medium"/>
      <right style="thin"/>
      <top>
        <color indexed="63"/>
      </top>
      <bottom style="medium"/>
    </border>
    <border>
      <left style="thin"/>
      <right style="medium"/>
      <top style="thin"/>
      <bottom>
        <color indexed="63"/>
      </bottom>
    </border>
  </borders>
  <cellStyleXfs count="1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7" borderId="0" applyNumberFormat="0" applyBorder="0" applyAlignment="0" applyProtection="0"/>
    <xf numFmtId="0" fontId="17" fillId="6" borderId="0" applyNumberFormat="0" applyBorder="0" applyAlignment="0" applyProtection="0"/>
    <xf numFmtId="0" fontId="17" fillId="10"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1" borderId="0" applyNumberFormat="0" applyBorder="0" applyAlignment="0" applyProtection="0"/>
    <xf numFmtId="0" fontId="17" fillId="5" borderId="0" applyNumberFormat="0" applyBorder="0" applyAlignment="0" applyProtection="0"/>
    <xf numFmtId="0" fontId="17" fillId="8" borderId="0" applyNumberFormat="0" applyBorder="0" applyAlignment="0" applyProtection="0"/>
    <xf numFmtId="0" fontId="17" fillId="12" borderId="0" applyNumberFormat="0" applyBorder="0" applyAlignment="0" applyProtection="0"/>
    <xf numFmtId="0" fontId="17" fillId="6" borderId="0" applyNumberFormat="0" applyBorder="0" applyAlignment="0" applyProtection="0"/>
    <xf numFmtId="0" fontId="17" fillId="9" borderId="0" applyNumberFormat="0" applyBorder="0" applyAlignment="0" applyProtection="0"/>
    <xf numFmtId="0" fontId="17" fillId="13" borderId="0" applyNumberFormat="0" applyBorder="0" applyAlignment="0" applyProtection="0"/>
    <xf numFmtId="0" fontId="17" fillId="3" borderId="0" applyNumberFormat="0" applyBorder="0" applyAlignment="0" applyProtection="0"/>
    <xf numFmtId="0" fontId="17" fillId="6" borderId="0" applyNumberFormat="0" applyBorder="0" applyAlignment="0" applyProtection="0"/>
    <xf numFmtId="0" fontId="17" fillId="10" borderId="0" applyNumberFormat="0" applyBorder="0" applyAlignment="0" applyProtection="0"/>
    <xf numFmtId="0" fontId="16" fillId="14" borderId="0" applyNumberFormat="0" applyBorder="0" applyAlignment="0" applyProtection="0"/>
    <xf numFmtId="0" fontId="16" fillId="9" borderId="0" applyNumberFormat="0" applyBorder="0" applyAlignment="0" applyProtection="0"/>
    <xf numFmtId="0" fontId="16" fillId="11"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6" borderId="0" applyNumberFormat="0" applyBorder="0" applyAlignment="0" applyProtection="0"/>
    <xf numFmtId="0" fontId="16" fillId="18" borderId="0" applyNumberFormat="0" applyBorder="0" applyAlignment="0" applyProtection="0"/>
    <xf numFmtId="0" fontId="16" fillId="12" borderId="0" applyNumberFormat="0" applyBorder="0" applyAlignment="0" applyProtection="0"/>
    <xf numFmtId="0" fontId="16" fillId="3" borderId="0" applyNumberFormat="0" applyBorder="0" applyAlignment="0" applyProtection="0"/>
    <xf numFmtId="0" fontId="16" fillId="6" borderId="0" applyNumberFormat="0" applyBorder="0" applyAlignment="0" applyProtection="0"/>
    <xf numFmtId="0" fontId="16" fillId="9" borderId="0" applyNumberFormat="0" applyBorder="0" applyAlignment="0" applyProtection="0"/>
    <xf numFmtId="0" fontId="23" fillId="0" borderId="0">
      <alignment/>
      <protection/>
    </xf>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8" borderId="0" applyNumberFormat="0" applyBorder="0" applyAlignment="0" applyProtection="0"/>
    <xf numFmtId="0" fontId="16" fillId="22" borderId="0" applyNumberFormat="0" applyBorder="0" applyAlignment="0" applyProtection="0"/>
    <xf numFmtId="0" fontId="16" fillId="18" borderId="0" applyNumberFormat="0" applyBorder="0" applyAlignment="0" applyProtection="0"/>
    <xf numFmtId="0" fontId="16" fillId="12" borderId="0" applyNumberFormat="0" applyBorder="0" applyAlignment="0" applyProtection="0"/>
    <xf numFmtId="0" fontId="16" fillId="23"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0" fillId="13" borderId="1" applyNumberFormat="0" applyAlignment="0" applyProtection="0"/>
    <xf numFmtId="0" fontId="10" fillId="7" borderId="1" applyNumberFormat="0" applyAlignment="0" applyProtection="0"/>
    <xf numFmtId="0" fontId="11" fillId="24" borderId="2" applyNumberFormat="0" applyAlignment="0" applyProtection="0"/>
    <xf numFmtId="0" fontId="18" fillId="24" borderId="1" applyNumberFormat="0" applyAlignment="0" applyProtection="0"/>
    <xf numFmtId="0" fontId="24" fillId="0" borderId="0" applyNumberFormat="0" applyFill="0" applyBorder="0" applyAlignment="0" applyProtection="0"/>
    <xf numFmtId="181" fontId="1" fillId="0" borderId="0" applyFont="0" applyFill="0" applyBorder="0" applyAlignment="0" applyProtection="0"/>
    <xf numFmtId="180" fontId="1" fillId="0" borderId="0" applyFont="0" applyFill="0" applyBorder="0" applyAlignment="0" applyProtection="0"/>
    <xf numFmtId="0" fontId="8" fillId="6"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3" fillId="0" borderId="0">
      <alignment/>
      <protection/>
    </xf>
    <xf numFmtId="0" fontId="25" fillId="0" borderId="0">
      <alignment/>
      <protection/>
    </xf>
    <xf numFmtId="0" fontId="23" fillId="0" borderId="0">
      <alignment/>
      <protection/>
    </xf>
    <xf numFmtId="0" fontId="23"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30" fillId="0" borderId="0">
      <alignment vertical="top"/>
      <protection/>
    </xf>
    <xf numFmtId="0" fontId="12" fillId="0" borderId="6" applyNumberFormat="0" applyFill="0" applyAlignment="0" applyProtection="0"/>
    <xf numFmtId="0" fontId="15" fillId="0" borderId="7" applyNumberFormat="0" applyFill="0" applyAlignment="0" applyProtection="0"/>
    <xf numFmtId="0" fontId="13" fillId="25" borderId="8" applyNumberFormat="0" applyAlignment="0" applyProtection="0"/>
    <xf numFmtId="0" fontId="13" fillId="25" borderId="8" applyNumberFormat="0" applyAlignment="0" applyProtection="0"/>
    <xf numFmtId="0" fontId="31" fillId="0" borderId="0" applyNumberFormat="0" applyFill="0" applyBorder="0" applyAlignment="0" applyProtection="0"/>
    <xf numFmtId="0" fontId="19" fillId="0" borderId="0" applyNumberFormat="0" applyFill="0" applyBorder="0" applyAlignment="0" applyProtection="0"/>
    <xf numFmtId="0" fontId="20" fillId="13" borderId="0" applyNumberFormat="0" applyBorder="0" applyAlignment="0" applyProtection="0"/>
    <xf numFmtId="0" fontId="32" fillId="26" borderId="1" applyNumberFormat="0" applyAlignment="0" applyProtection="0"/>
    <xf numFmtId="0" fontId="23" fillId="0" borderId="0">
      <alignment/>
      <protection/>
    </xf>
    <xf numFmtId="0" fontId="26" fillId="0" borderId="0" applyNumberFormat="0" applyFill="0" applyBorder="0" applyAlignment="0" applyProtection="0"/>
    <xf numFmtId="0" fontId="15" fillId="0" borderId="9" applyNumberFormat="0" applyFill="0" applyAlignment="0" applyProtection="0"/>
    <xf numFmtId="0" fontId="9" fillId="3" borderId="0" applyNumberFormat="0" applyBorder="0" applyAlignment="0" applyProtection="0"/>
    <xf numFmtId="0" fontId="9" fillId="5" borderId="0" applyNumberFormat="0" applyBorder="0" applyAlignment="0" applyProtection="0"/>
    <xf numFmtId="0" fontId="14" fillId="0" borderId="0" applyNumberFormat="0" applyFill="0" applyBorder="0" applyAlignment="0" applyProtection="0"/>
    <xf numFmtId="0" fontId="17" fillId="10" borderId="10" applyNumberFormat="0" applyFont="0" applyAlignment="0" applyProtection="0"/>
    <xf numFmtId="0" fontId="0" fillId="10" borderId="10" applyNumberFormat="0" applyFont="0" applyAlignment="0" applyProtection="0"/>
    <xf numFmtId="183" fontId="1" fillId="0" borderId="0" applyFont="0" applyFill="0" applyBorder="0" applyAlignment="0" applyProtection="0"/>
    <xf numFmtId="0" fontId="11" fillId="26" borderId="2" applyNumberFormat="0" applyAlignment="0" applyProtection="0"/>
    <xf numFmtId="0" fontId="21" fillId="0" borderId="11" applyNumberFormat="0" applyFill="0" applyAlignment="0" applyProtection="0"/>
    <xf numFmtId="0" fontId="33" fillId="13" borderId="0" applyNumberFormat="0" applyBorder="0" applyAlignment="0" applyProtection="0"/>
    <xf numFmtId="0" fontId="22" fillId="0" borderId="0">
      <alignment/>
      <protection/>
    </xf>
    <xf numFmtId="0" fontId="12" fillId="0" borderId="0" applyNumberFormat="0" applyFill="0" applyBorder="0" applyAlignment="0" applyProtection="0"/>
    <xf numFmtId="0" fontId="14" fillId="0" borderId="0" applyNumberFormat="0" applyFill="0" applyBorder="0" applyAlignment="0" applyProtection="0"/>
    <xf numFmtId="0" fontId="12" fillId="0" borderId="0" applyNumberFormat="0" applyFill="0" applyBorder="0" applyAlignment="0" applyProtection="0"/>
    <xf numFmtId="182" fontId="1" fillId="0" borderId="0" applyFont="0" applyFill="0" applyBorder="0" applyAlignment="0" applyProtection="0"/>
    <xf numFmtId="9" fontId="1" fillId="0" borderId="0" applyFont="0" applyFill="0" applyBorder="0" applyAlignment="0" applyProtection="0"/>
    <xf numFmtId="0" fontId="8" fillId="4" borderId="0" applyNumberFormat="0" applyBorder="0" applyAlignment="0" applyProtection="0"/>
  </cellStyleXfs>
  <cellXfs count="178">
    <xf numFmtId="0" fontId="0" fillId="0" borderId="0" xfId="0" applyAlignment="1">
      <alignment/>
    </xf>
    <xf numFmtId="0" fontId="4" fillId="0" borderId="0" xfId="0" applyNumberFormat="1" applyFont="1" applyFill="1" applyAlignment="1" applyProtection="1">
      <alignment horizontal="center" vertical="center" wrapText="1"/>
      <protection/>
    </xf>
    <xf numFmtId="0" fontId="0" fillId="0" borderId="0" xfId="0" applyNumberFormat="1" applyFont="1" applyFill="1" applyAlignment="1" applyProtection="1">
      <alignment/>
      <protection/>
    </xf>
    <xf numFmtId="0" fontId="0" fillId="0" borderId="0" xfId="0" applyNumberFormat="1" applyFont="1" applyFill="1" applyAlignment="1" applyProtection="1">
      <alignment wrapText="1"/>
      <protection/>
    </xf>
    <xf numFmtId="0" fontId="0" fillId="0" borderId="0" xfId="0" applyNumberFormat="1" applyFont="1" applyFill="1" applyAlignment="1" applyProtection="1">
      <alignment/>
      <protection/>
    </xf>
    <xf numFmtId="0" fontId="7" fillId="0" borderId="0" xfId="0" applyNumberFormat="1" applyFont="1" applyFill="1" applyAlignment="1" applyProtection="1">
      <alignment horizontal="center"/>
      <protection/>
    </xf>
    <xf numFmtId="0" fontId="0" fillId="0" borderId="0" xfId="0" applyFont="1" applyFill="1" applyAlignment="1">
      <alignment horizontal="center"/>
    </xf>
    <xf numFmtId="0" fontId="0" fillId="0" borderId="12" xfId="0" applyNumberFormat="1" applyFont="1" applyFill="1" applyBorder="1" applyAlignment="1" applyProtection="1">
      <alignment/>
      <protection/>
    </xf>
    <xf numFmtId="0" fontId="0" fillId="0" borderId="13" xfId="0" applyNumberFormat="1" applyFont="1" applyFill="1" applyBorder="1" applyAlignment="1" applyProtection="1">
      <alignment/>
      <protection/>
    </xf>
    <xf numFmtId="0" fontId="0" fillId="0" borderId="14" xfId="0" applyNumberFormat="1" applyFont="1" applyFill="1" applyBorder="1" applyAlignment="1" applyProtection="1">
      <alignment/>
      <protection/>
    </xf>
    <xf numFmtId="0" fontId="0" fillId="0" borderId="15" xfId="0" applyNumberFormat="1" applyFont="1" applyFill="1" applyBorder="1" applyAlignment="1" applyProtection="1">
      <alignment horizontal="center" vertical="center" wrapText="1"/>
      <protection/>
    </xf>
    <xf numFmtId="0" fontId="0" fillId="0" borderId="0" xfId="0" applyNumberFormat="1" applyFont="1" applyFill="1" applyAlignment="1" applyProtection="1">
      <alignment/>
      <protection/>
    </xf>
    <xf numFmtId="0" fontId="0" fillId="0" borderId="0" xfId="0" applyNumberFormat="1" applyFont="1" applyFill="1" applyBorder="1" applyAlignment="1" applyProtection="1">
      <alignment/>
      <protection/>
    </xf>
    <xf numFmtId="0" fontId="4" fillId="0" borderId="0" xfId="0" applyNumberFormat="1" applyFont="1" applyFill="1" applyBorder="1" applyAlignment="1" applyProtection="1">
      <alignment horizontal="right" vertical="center"/>
      <protection/>
    </xf>
    <xf numFmtId="0" fontId="0" fillId="0" borderId="0" xfId="0" applyNumberFormat="1" applyFont="1" applyFill="1" applyAlignment="1" applyProtection="1">
      <alignment wrapText="1"/>
      <protection/>
    </xf>
    <xf numFmtId="0" fontId="0" fillId="0" borderId="0" xfId="0" applyFont="1" applyFill="1" applyBorder="1" applyAlignment="1">
      <alignment/>
    </xf>
    <xf numFmtId="0" fontId="35" fillId="0" borderId="0" xfId="0" applyNumberFormat="1" applyFont="1" applyFill="1" applyAlignment="1" applyProtection="1">
      <alignment/>
      <protection/>
    </xf>
    <xf numFmtId="0" fontId="5" fillId="0" borderId="0" xfId="0" applyFont="1" applyFill="1" applyBorder="1" applyAlignment="1">
      <alignment/>
    </xf>
    <xf numFmtId="0" fontId="0" fillId="0" borderId="0" xfId="0" applyFont="1" applyFill="1" applyBorder="1" applyAlignment="1">
      <alignment/>
    </xf>
    <xf numFmtId="0" fontId="5" fillId="0" borderId="0" xfId="0" applyNumberFormat="1" applyFont="1" applyFill="1" applyAlignment="1" applyProtection="1">
      <alignment/>
      <protection/>
    </xf>
    <xf numFmtId="0" fontId="5" fillId="0" borderId="0" xfId="0" applyNumberFormat="1" applyFont="1" applyFill="1" applyAlignment="1" applyProtection="1">
      <alignment/>
      <protection/>
    </xf>
    <xf numFmtId="0" fontId="5" fillId="0" borderId="0" xfId="0" applyFont="1" applyFill="1" applyBorder="1" applyAlignment="1">
      <alignment/>
    </xf>
    <xf numFmtId="0" fontId="29" fillId="0" borderId="0" xfId="0" applyNumberFormat="1" applyFont="1" applyFill="1" applyAlignment="1" applyProtection="1">
      <alignment horizontal="left" vertical="center" wrapText="1"/>
      <protection/>
    </xf>
    <xf numFmtId="0" fontId="5" fillId="0" borderId="16" xfId="0" applyNumberFormat="1" applyFont="1" applyFill="1" applyBorder="1" applyAlignment="1" applyProtection="1">
      <alignment/>
      <protection/>
    </xf>
    <xf numFmtId="0" fontId="0" fillId="0" borderId="16" xfId="0" applyNumberFormat="1" applyFont="1" applyFill="1" applyBorder="1" applyAlignment="1" applyProtection="1">
      <alignment/>
      <protection/>
    </xf>
    <xf numFmtId="0" fontId="0" fillId="0" borderId="16" xfId="0" applyNumberFormat="1" applyFont="1" applyFill="1" applyBorder="1" applyAlignment="1" applyProtection="1">
      <alignment/>
      <protection/>
    </xf>
    <xf numFmtId="0" fontId="0" fillId="0" borderId="17" xfId="0" applyNumberFormat="1" applyFont="1" applyFill="1" applyBorder="1" applyAlignment="1" applyProtection="1">
      <alignment/>
      <protection/>
    </xf>
    <xf numFmtId="0" fontId="5" fillId="0" borderId="14" xfId="0" applyNumberFormat="1" applyFont="1" applyFill="1" applyBorder="1" applyAlignment="1" applyProtection="1">
      <alignment/>
      <protection/>
    </xf>
    <xf numFmtId="0" fontId="0" fillId="0" borderId="0" xfId="0" applyFont="1" applyFill="1" applyBorder="1" applyAlignment="1">
      <alignment horizontal="center"/>
    </xf>
    <xf numFmtId="0" fontId="0" fillId="0" borderId="0" xfId="0" applyFont="1" applyFill="1" applyBorder="1" applyAlignment="1">
      <alignment horizontal="center" wrapText="1"/>
    </xf>
    <xf numFmtId="0" fontId="0" fillId="0" borderId="0" xfId="0" applyFont="1" applyFill="1" applyBorder="1" applyAlignment="1">
      <alignment horizontal="center"/>
    </xf>
    <xf numFmtId="0" fontId="7" fillId="0" borderId="0" xfId="0" applyNumberFormat="1" applyFont="1" applyFill="1" applyBorder="1" applyAlignment="1" applyProtection="1">
      <alignment horizontal="center" vertical="top"/>
      <protection/>
    </xf>
    <xf numFmtId="0" fontId="35" fillId="0" borderId="0" xfId="0" applyNumberFormat="1" applyFont="1" applyFill="1" applyAlignment="1" applyProtection="1">
      <alignment/>
      <protection/>
    </xf>
    <xf numFmtId="0" fontId="27" fillId="0" borderId="0" xfId="0" applyFont="1" applyFill="1" applyBorder="1" applyAlignment="1">
      <alignment horizontal="center" vertical="center"/>
    </xf>
    <xf numFmtId="0" fontId="5" fillId="0" borderId="0" xfId="0" applyNumberFormat="1" applyFont="1" applyFill="1" applyBorder="1" applyAlignment="1" applyProtection="1">
      <alignment horizontal="center" vertical="center"/>
      <protection/>
    </xf>
    <xf numFmtId="0" fontId="27" fillId="0" borderId="0" xfId="0" applyFont="1" applyFill="1" applyBorder="1" applyAlignment="1">
      <alignment wrapText="1"/>
    </xf>
    <xf numFmtId="0" fontId="36" fillId="0" borderId="0" xfId="0" applyNumberFormat="1" applyFont="1" applyFill="1" applyBorder="1" applyAlignment="1" applyProtection="1">
      <alignment/>
      <protection/>
    </xf>
    <xf numFmtId="0" fontId="36" fillId="0" borderId="0" xfId="0" applyNumberFormat="1" applyFont="1" applyFill="1" applyBorder="1" applyAlignment="1" applyProtection="1">
      <alignment/>
      <protection/>
    </xf>
    <xf numFmtId="49" fontId="27" fillId="27" borderId="18" xfId="0" applyNumberFormat="1" applyFont="1" applyFill="1" applyBorder="1" applyAlignment="1">
      <alignment horizontal="center" vertical="center"/>
    </xf>
    <xf numFmtId="0" fontId="5" fillId="27" borderId="15" xfId="0" applyNumberFormat="1" applyFont="1" applyFill="1" applyBorder="1" applyAlignment="1" applyProtection="1">
      <alignment horizontal="center" vertical="center"/>
      <protection/>
    </xf>
    <xf numFmtId="0" fontId="27" fillId="27" borderId="15" xfId="0" applyFont="1" applyFill="1" applyBorder="1" applyAlignment="1">
      <alignment vertical="center" wrapText="1"/>
    </xf>
    <xf numFmtId="0" fontId="36" fillId="27" borderId="15" xfId="0" applyNumberFormat="1" applyFont="1" applyFill="1" applyBorder="1" applyAlignment="1" applyProtection="1">
      <alignment/>
      <protection/>
    </xf>
    <xf numFmtId="0" fontId="36" fillId="27" borderId="19" xfId="0" applyNumberFormat="1" applyFont="1" applyFill="1" applyBorder="1" applyAlignment="1" applyProtection="1">
      <alignment/>
      <protection/>
    </xf>
    <xf numFmtId="49" fontId="0" fillId="27" borderId="18" xfId="0" applyNumberFormat="1" applyFill="1" applyBorder="1" applyAlignment="1">
      <alignment horizontal="center" vertical="center"/>
    </xf>
    <xf numFmtId="49" fontId="0" fillId="27" borderId="15" xfId="0" applyNumberFormat="1" applyFont="1" applyFill="1" applyBorder="1" applyAlignment="1" applyProtection="1">
      <alignment horizontal="center" vertical="center"/>
      <protection/>
    </xf>
    <xf numFmtId="0" fontId="0" fillId="27" borderId="15" xfId="0" applyFill="1" applyBorder="1" applyAlignment="1">
      <alignment vertical="center" wrapText="1"/>
    </xf>
    <xf numFmtId="0" fontId="35" fillId="27" borderId="15" xfId="0" applyNumberFormat="1" applyFont="1" applyFill="1" applyBorder="1" applyAlignment="1" applyProtection="1">
      <alignment/>
      <protection/>
    </xf>
    <xf numFmtId="0" fontId="35" fillId="27" borderId="15" xfId="0" applyNumberFormat="1" applyFont="1" applyFill="1" applyBorder="1" applyAlignment="1" applyProtection="1">
      <alignment/>
      <protection/>
    </xf>
    <xf numFmtId="49" fontId="0" fillId="27" borderId="18" xfId="0" applyNumberFormat="1" applyFont="1" applyFill="1" applyBorder="1" applyAlignment="1">
      <alignment horizontal="center" vertical="center"/>
    </xf>
    <xf numFmtId="0" fontId="36" fillId="27" borderId="15" xfId="0" applyNumberFormat="1" applyFont="1" applyFill="1" applyBorder="1" applyAlignment="1" applyProtection="1">
      <alignment/>
      <protection/>
    </xf>
    <xf numFmtId="0" fontId="38" fillId="27" borderId="0" xfId="0" applyFont="1" applyFill="1" applyAlignment="1">
      <alignment wrapText="1"/>
    </xf>
    <xf numFmtId="0" fontId="28" fillId="27" borderId="15" xfId="0" applyFont="1" applyFill="1" applyBorder="1" applyAlignment="1">
      <alignment wrapText="1"/>
    </xf>
    <xf numFmtId="49" fontId="0" fillId="27" borderId="20" xfId="0" applyNumberFormat="1" applyFill="1" applyBorder="1" applyAlignment="1">
      <alignment horizontal="center" vertical="center"/>
    </xf>
    <xf numFmtId="49" fontId="0" fillId="27" borderId="21" xfId="0" applyNumberFormat="1" applyFont="1" applyFill="1" applyBorder="1" applyAlignment="1" applyProtection="1">
      <alignment horizontal="center" vertical="center"/>
      <protection/>
    </xf>
    <xf numFmtId="0" fontId="0" fillId="27" borderId="21" xfId="0" applyFill="1" applyBorder="1" applyAlignment="1">
      <alignment vertical="center" wrapText="1"/>
    </xf>
    <xf numFmtId="0" fontId="35" fillId="27" borderId="21" xfId="0" applyNumberFormat="1" applyFont="1" applyFill="1" applyBorder="1" applyAlignment="1" applyProtection="1">
      <alignment/>
      <protection/>
    </xf>
    <xf numFmtId="0" fontId="36" fillId="27" borderId="21" xfId="0" applyNumberFormat="1" applyFont="1" applyFill="1" applyBorder="1" applyAlignment="1" applyProtection="1">
      <alignment/>
      <protection/>
    </xf>
    <xf numFmtId="0" fontId="36" fillId="27" borderId="22" xfId="0" applyNumberFormat="1" applyFont="1" applyFill="1" applyBorder="1" applyAlignment="1" applyProtection="1">
      <alignment/>
      <protection/>
    </xf>
    <xf numFmtId="49" fontId="27" fillId="27" borderId="20" xfId="0" applyNumberFormat="1" applyFont="1" applyFill="1" applyBorder="1" applyAlignment="1">
      <alignment horizontal="center" vertical="center"/>
    </xf>
    <xf numFmtId="0" fontId="27" fillId="27" borderId="21" xfId="0" applyFont="1" applyFill="1" applyBorder="1" applyAlignment="1">
      <alignment vertical="center" wrapText="1"/>
    </xf>
    <xf numFmtId="0" fontId="36" fillId="27" borderId="21" xfId="0" applyNumberFormat="1" applyFont="1" applyFill="1" applyBorder="1" applyAlignment="1" applyProtection="1">
      <alignment/>
      <protection/>
    </xf>
    <xf numFmtId="0" fontId="23" fillId="27" borderId="15" xfId="0" applyFont="1" applyFill="1" applyBorder="1" applyAlignment="1">
      <alignment vertical="center" wrapText="1"/>
    </xf>
    <xf numFmtId="0" fontId="0" fillId="27" borderId="15" xfId="0" applyNumberFormat="1" applyFont="1" applyFill="1" applyBorder="1" applyAlignment="1" applyProtection="1">
      <alignment horizontal="center" vertical="center"/>
      <protection/>
    </xf>
    <xf numFmtId="49" fontId="5" fillId="27" borderId="18" xfId="0" applyNumberFormat="1" applyFont="1" applyFill="1" applyBorder="1" applyAlignment="1">
      <alignment horizontal="center" vertical="center"/>
    </xf>
    <xf numFmtId="0" fontId="23" fillId="27" borderId="20" xfId="0" applyFont="1" applyFill="1" applyBorder="1" applyAlignment="1">
      <alignment horizontal="center" vertical="center"/>
    </xf>
    <xf numFmtId="0" fontId="0" fillId="27" borderId="21" xfId="0" applyNumberFormat="1" applyFont="1" applyFill="1" applyBorder="1" applyAlignment="1" applyProtection="1">
      <alignment horizontal="center" vertical="center"/>
      <protection/>
    </xf>
    <xf numFmtId="0" fontId="23" fillId="27" borderId="21" xfId="0" applyFont="1" applyFill="1" applyBorder="1" applyAlignment="1">
      <alignment wrapText="1"/>
    </xf>
    <xf numFmtId="0" fontId="0" fillId="0" borderId="0" xfId="0" applyNumberFormat="1" applyFill="1" applyAlignment="1" applyProtection="1">
      <alignment wrapText="1"/>
      <protection/>
    </xf>
    <xf numFmtId="0" fontId="36" fillId="0" borderId="15" xfId="0" applyNumberFormat="1" applyFont="1" applyFill="1" applyBorder="1" applyAlignment="1" applyProtection="1">
      <alignment/>
      <protection/>
    </xf>
    <xf numFmtId="0" fontId="35" fillId="0" borderId="15" xfId="0" applyNumberFormat="1" applyFont="1" applyFill="1" applyBorder="1" applyAlignment="1" applyProtection="1">
      <alignment/>
      <protection/>
    </xf>
    <xf numFmtId="49" fontId="27" fillId="0" borderId="18" xfId="0" applyNumberFormat="1" applyFont="1" applyFill="1" applyBorder="1" applyAlignment="1">
      <alignment horizontal="center" vertical="center"/>
    </xf>
    <xf numFmtId="49" fontId="0" fillId="0" borderId="15" xfId="0" applyNumberFormat="1" applyFont="1" applyFill="1" applyBorder="1" applyAlignment="1" applyProtection="1">
      <alignment horizontal="center" vertical="center"/>
      <protection/>
    </xf>
    <xf numFmtId="0" fontId="27" fillId="0" borderId="15" xfId="0" applyFont="1" applyFill="1" applyBorder="1" applyAlignment="1">
      <alignment vertical="center" wrapText="1"/>
    </xf>
    <xf numFmtId="0" fontId="36" fillId="0" borderId="15" xfId="0" applyNumberFormat="1" applyFont="1" applyFill="1" applyBorder="1" applyAlignment="1" applyProtection="1">
      <alignment/>
      <protection/>
    </xf>
    <xf numFmtId="49" fontId="0" fillId="0" borderId="18" xfId="0" applyNumberFormat="1" applyFill="1" applyBorder="1" applyAlignment="1">
      <alignment horizontal="center" vertical="center"/>
    </xf>
    <xf numFmtId="0" fontId="0" fillId="0" borderId="15" xfId="0" applyFill="1" applyBorder="1" applyAlignment="1">
      <alignment vertical="center" wrapText="1"/>
    </xf>
    <xf numFmtId="0" fontId="36" fillId="0" borderId="19" xfId="0" applyNumberFormat="1" applyFont="1" applyFill="1" applyBorder="1" applyAlignment="1" applyProtection="1">
      <alignment/>
      <protection/>
    </xf>
    <xf numFmtId="0" fontId="0" fillId="0" borderId="15" xfId="0" applyNumberFormat="1" applyFont="1" applyFill="1" applyBorder="1" applyAlignment="1" applyProtection="1">
      <alignment horizontal="center" vertical="center"/>
      <protection/>
    </xf>
    <xf numFmtId="0" fontId="0" fillId="0" borderId="23" xfId="0" applyFill="1" applyBorder="1" applyAlignment="1">
      <alignment vertical="center" wrapText="1"/>
    </xf>
    <xf numFmtId="0" fontId="0" fillId="0" borderId="0" xfId="0" applyFill="1" applyBorder="1" applyAlignment="1">
      <alignment vertical="center" wrapText="1"/>
    </xf>
    <xf numFmtId="49" fontId="0" fillId="0" borderId="18" xfId="0" applyNumberFormat="1" applyFont="1" applyFill="1" applyBorder="1" applyAlignment="1">
      <alignment horizontal="center" vertical="center"/>
    </xf>
    <xf numFmtId="0" fontId="5" fillId="0" borderId="15" xfId="0" applyNumberFormat="1" applyFont="1" applyFill="1" applyBorder="1" applyAlignment="1" applyProtection="1">
      <alignment horizontal="center" vertical="center"/>
      <protection/>
    </xf>
    <xf numFmtId="49" fontId="0" fillId="0" borderId="24" xfId="0" applyNumberFormat="1" applyFill="1" applyBorder="1" applyAlignment="1">
      <alignment horizontal="center" vertical="center"/>
    </xf>
    <xf numFmtId="49" fontId="0" fillId="0" borderId="25" xfId="0" applyNumberFormat="1" applyFont="1" applyFill="1" applyBorder="1" applyAlignment="1" applyProtection="1">
      <alignment horizontal="center" vertical="center"/>
      <protection/>
    </xf>
    <xf numFmtId="0" fontId="0" fillId="0" borderId="25" xfId="0" applyFill="1" applyBorder="1" applyAlignment="1">
      <alignment vertical="center" wrapText="1"/>
    </xf>
    <xf numFmtId="0" fontId="35" fillId="0" borderId="25" xfId="0" applyNumberFormat="1" applyFont="1" applyFill="1" applyBorder="1" applyAlignment="1" applyProtection="1">
      <alignment/>
      <protection/>
    </xf>
    <xf numFmtId="49" fontId="23" fillId="0" borderId="18" xfId="0" applyNumberFormat="1" applyFont="1" applyFill="1" applyBorder="1" applyAlignment="1">
      <alignment horizontal="center" vertical="center"/>
    </xf>
    <xf numFmtId="0" fontId="23" fillId="0" borderId="15" xfId="0" applyFont="1" applyFill="1" applyBorder="1" applyAlignment="1">
      <alignment vertical="center" wrapText="1"/>
    </xf>
    <xf numFmtId="0" fontId="35" fillId="0" borderId="15" xfId="0" applyNumberFormat="1" applyFont="1" applyFill="1" applyBorder="1" applyAlignment="1" applyProtection="1">
      <alignment/>
      <protection/>
    </xf>
    <xf numFmtId="49" fontId="27" fillId="0" borderId="20" xfId="0" applyNumberFormat="1" applyFont="1" applyFill="1" applyBorder="1" applyAlignment="1">
      <alignment horizontal="center" vertical="center"/>
    </xf>
    <xf numFmtId="0" fontId="5" fillId="0" borderId="21" xfId="0" applyNumberFormat="1" applyFont="1" applyFill="1" applyBorder="1" applyAlignment="1" applyProtection="1">
      <alignment horizontal="center" vertical="center"/>
      <protection/>
    </xf>
    <xf numFmtId="0" fontId="27" fillId="0" borderId="21" xfId="0" applyFont="1" applyFill="1" applyBorder="1" applyAlignment="1">
      <alignment vertical="center" wrapText="1"/>
    </xf>
    <xf numFmtId="0" fontId="36" fillId="0" borderId="21" xfId="0" applyNumberFormat="1" applyFont="1" applyFill="1" applyBorder="1" applyAlignment="1" applyProtection="1">
      <alignment/>
      <protection/>
    </xf>
    <xf numFmtId="0" fontId="36" fillId="0" borderId="22" xfId="0" applyNumberFormat="1" applyFont="1" applyFill="1" applyBorder="1" applyAlignment="1" applyProtection="1">
      <alignment/>
      <protection/>
    </xf>
    <xf numFmtId="0" fontId="36" fillId="0" borderId="25" xfId="0" applyNumberFormat="1" applyFont="1" applyFill="1" applyBorder="1" applyAlignment="1" applyProtection="1">
      <alignment/>
      <protection/>
    </xf>
    <xf numFmtId="0" fontId="36" fillId="0" borderId="26" xfId="0" applyNumberFormat="1" applyFont="1" applyFill="1" applyBorder="1" applyAlignment="1" applyProtection="1">
      <alignment/>
      <protection/>
    </xf>
    <xf numFmtId="0" fontId="34" fillId="0" borderId="15" xfId="0" applyFont="1" applyFill="1" applyBorder="1" applyAlignment="1">
      <alignment wrapText="1"/>
    </xf>
    <xf numFmtId="49" fontId="0" fillId="0" borderId="18" xfId="0" applyNumberFormat="1" applyFont="1" applyFill="1" applyBorder="1" applyAlignment="1">
      <alignment horizontal="center" vertical="center"/>
    </xf>
    <xf numFmtId="49" fontId="0" fillId="0" borderId="15" xfId="0" applyNumberFormat="1" applyFont="1" applyFill="1" applyBorder="1" applyAlignment="1" applyProtection="1">
      <alignment horizontal="center" vertical="center"/>
      <protection/>
    </xf>
    <xf numFmtId="0" fontId="0" fillId="0" borderId="15" xfId="0" applyFont="1" applyFill="1" applyBorder="1" applyAlignment="1">
      <alignment vertical="center" wrapText="1"/>
    </xf>
    <xf numFmtId="49" fontId="5" fillId="0" borderId="18" xfId="0" applyNumberFormat="1" applyFont="1" applyFill="1" applyBorder="1" applyAlignment="1">
      <alignment horizontal="center" vertical="center"/>
    </xf>
    <xf numFmtId="0" fontId="23" fillId="0" borderId="25" xfId="0" applyFont="1" applyFill="1" applyBorder="1" applyAlignment="1">
      <alignment vertical="center" wrapText="1"/>
    </xf>
    <xf numFmtId="0" fontId="39" fillId="0" borderId="0" xfId="0" applyFont="1" applyFill="1" applyAlignment="1">
      <alignment wrapText="1"/>
    </xf>
    <xf numFmtId="0" fontId="40" fillId="0" borderId="25" xfId="0" applyFont="1" applyFill="1" applyBorder="1" applyAlignment="1">
      <alignment wrapText="1"/>
    </xf>
    <xf numFmtId="0" fontId="36" fillId="0" borderId="21" xfId="0" applyNumberFormat="1" applyFont="1" applyFill="1" applyBorder="1" applyAlignment="1" applyProtection="1">
      <alignment/>
      <protection/>
    </xf>
    <xf numFmtId="0" fontId="23" fillId="0" borderId="24" xfId="0" applyFont="1" applyFill="1" applyBorder="1" applyAlignment="1">
      <alignment horizontal="center" vertical="center"/>
    </xf>
    <xf numFmtId="0" fontId="23" fillId="0" borderId="25" xfId="0" applyFont="1" applyFill="1" applyBorder="1" applyAlignment="1">
      <alignment wrapText="1"/>
    </xf>
    <xf numFmtId="0" fontId="27" fillId="0" borderId="15" xfId="0" applyFont="1" applyFill="1" applyBorder="1" applyAlignment="1">
      <alignment horizontal="left" vertical="center" wrapText="1"/>
    </xf>
    <xf numFmtId="0" fontId="5" fillId="0" borderId="15" xfId="0" applyFont="1" applyFill="1" applyBorder="1" applyAlignment="1">
      <alignment vertical="center" wrapText="1"/>
    </xf>
    <xf numFmtId="0" fontId="36" fillId="0" borderId="19" xfId="0" applyNumberFormat="1" applyFont="1" applyFill="1" applyBorder="1" applyAlignment="1" applyProtection="1">
      <alignment/>
      <protection/>
    </xf>
    <xf numFmtId="0" fontId="23" fillId="0" borderId="15" xfId="0" applyFont="1" applyFill="1" applyBorder="1" applyAlignment="1">
      <alignment horizontal="left" vertical="center" wrapText="1"/>
    </xf>
    <xf numFmtId="0" fontId="23" fillId="0" borderId="25" xfId="0" applyFont="1" applyFill="1" applyBorder="1" applyAlignment="1">
      <alignment horizontal="left" vertical="center" wrapText="1"/>
    </xf>
    <xf numFmtId="0" fontId="0" fillId="0" borderId="15" xfId="0" applyFont="1" applyFill="1" applyBorder="1" applyAlignment="1">
      <alignment vertical="center" wrapText="1"/>
    </xf>
    <xf numFmtId="0" fontId="28" fillId="0" borderId="0" xfId="0" applyFont="1" applyFill="1" applyAlignment="1">
      <alignment wrapText="1"/>
    </xf>
    <xf numFmtId="0" fontId="37" fillId="0" borderId="15" xfId="0" applyFont="1" applyFill="1" applyBorder="1" applyAlignment="1">
      <alignment wrapText="1"/>
    </xf>
    <xf numFmtId="49" fontId="27" fillId="0" borderId="27" xfId="0" applyNumberFormat="1" applyFont="1" applyFill="1" applyBorder="1" applyAlignment="1">
      <alignment horizontal="center" vertical="center"/>
    </xf>
    <xf numFmtId="0" fontId="5" fillId="0" borderId="28" xfId="0" applyNumberFormat="1" applyFont="1" applyFill="1" applyBorder="1" applyAlignment="1" applyProtection="1">
      <alignment horizontal="center" vertical="center"/>
      <protection/>
    </xf>
    <xf numFmtId="0" fontId="27" fillId="0" borderId="28" xfId="0" applyFont="1" applyFill="1" applyBorder="1" applyAlignment="1">
      <alignment vertical="center" wrapText="1"/>
    </xf>
    <xf numFmtId="0" fontId="36" fillId="0" borderId="28" xfId="0" applyNumberFormat="1" applyFont="1" applyFill="1" applyBorder="1" applyAlignment="1" applyProtection="1">
      <alignment/>
      <protection/>
    </xf>
    <xf numFmtId="0" fontId="36" fillId="0" borderId="29" xfId="0" applyNumberFormat="1" applyFont="1" applyFill="1" applyBorder="1" applyAlignment="1" applyProtection="1">
      <alignment/>
      <protection/>
    </xf>
    <xf numFmtId="49" fontId="0" fillId="0" borderId="24" xfId="0" applyNumberFormat="1" applyFont="1" applyFill="1" applyBorder="1" applyAlignment="1">
      <alignment horizontal="center" vertical="center"/>
    </xf>
    <xf numFmtId="0" fontId="0" fillId="0" borderId="25" xfId="0" applyFont="1" applyFill="1" applyBorder="1" applyAlignment="1">
      <alignment vertical="center" wrapText="1"/>
    </xf>
    <xf numFmtId="0" fontId="27" fillId="0" borderId="24" xfId="0" applyFont="1" applyFill="1" applyBorder="1" applyAlignment="1">
      <alignment horizontal="center" vertical="center"/>
    </xf>
    <xf numFmtId="0" fontId="5" fillId="0" borderId="25" xfId="0" applyNumberFormat="1" applyFont="1" applyFill="1" applyBorder="1" applyAlignment="1" applyProtection="1">
      <alignment horizontal="center" vertical="center"/>
      <protection/>
    </xf>
    <xf numFmtId="0" fontId="27" fillId="0" borderId="25" xfId="0" applyFont="1" applyFill="1" applyBorder="1" applyAlignment="1">
      <alignment wrapText="1"/>
    </xf>
    <xf numFmtId="49" fontId="5" fillId="0" borderId="15" xfId="0" applyNumberFormat="1" applyFont="1" applyFill="1" applyBorder="1" applyAlignment="1" applyProtection="1">
      <alignment horizontal="center" vertical="center"/>
      <protection/>
    </xf>
    <xf numFmtId="49" fontId="0" fillId="0" borderId="21" xfId="0" applyNumberFormat="1" applyFont="1" applyFill="1" applyBorder="1" applyAlignment="1" applyProtection="1">
      <alignment horizontal="center" vertical="center"/>
      <protection/>
    </xf>
    <xf numFmtId="0" fontId="23" fillId="0" borderId="30" xfId="0" applyFont="1" applyFill="1" applyBorder="1" applyAlignment="1">
      <alignment horizontal="center" vertical="center"/>
    </xf>
    <xf numFmtId="0" fontId="0" fillId="0" borderId="31" xfId="0" applyNumberFormat="1" applyFont="1" applyFill="1" applyBorder="1" applyAlignment="1" applyProtection="1">
      <alignment horizontal="center" vertical="center"/>
      <protection/>
    </xf>
    <xf numFmtId="0" fontId="23" fillId="0" borderId="31" xfId="0" applyFont="1" applyFill="1" applyBorder="1" applyAlignment="1">
      <alignment wrapText="1"/>
    </xf>
    <xf numFmtId="0" fontId="35" fillId="0" borderId="31" xfId="0" applyNumberFormat="1" applyFont="1" applyFill="1" applyBorder="1" applyAlignment="1" applyProtection="1">
      <alignment/>
      <protection/>
    </xf>
    <xf numFmtId="0" fontId="36" fillId="0" borderId="31" xfId="0" applyNumberFormat="1" applyFont="1" applyFill="1" applyBorder="1" applyAlignment="1" applyProtection="1">
      <alignment/>
      <protection/>
    </xf>
    <xf numFmtId="0" fontId="36" fillId="0" borderId="32" xfId="0" applyNumberFormat="1" applyFont="1" applyFill="1" applyBorder="1" applyAlignment="1" applyProtection="1">
      <alignment/>
      <protection/>
    </xf>
    <xf numFmtId="49" fontId="44" fillId="0" borderId="18" xfId="0" applyNumberFormat="1" applyFont="1" applyFill="1" applyBorder="1" applyAlignment="1">
      <alignment horizontal="center" vertical="center"/>
    </xf>
    <xf numFmtId="0" fontId="36" fillId="0" borderId="0" xfId="0" applyNumberFormat="1" applyFont="1" applyFill="1" applyAlignment="1" applyProtection="1">
      <alignment/>
      <protection/>
    </xf>
    <xf numFmtId="0" fontId="0" fillId="0" borderId="26" xfId="0" applyBorder="1" applyAlignment="1">
      <alignment vertical="center"/>
    </xf>
    <xf numFmtId="0" fontId="0" fillId="0" borderId="15" xfId="0" applyNumberFormat="1" applyFont="1" applyFill="1" applyBorder="1" applyAlignment="1" applyProtection="1">
      <alignment horizontal="center" vertical="center" wrapText="1"/>
      <protection/>
    </xf>
    <xf numFmtId="0" fontId="0" fillId="0" borderId="25" xfId="0" applyNumberFormat="1" applyFont="1" applyFill="1" applyBorder="1" applyAlignment="1" applyProtection="1">
      <alignment horizontal="center" vertical="center" wrapText="1"/>
      <protection/>
    </xf>
    <xf numFmtId="0" fontId="0" fillId="0" borderId="15" xfId="0" applyNumberFormat="1" applyFont="1" applyFill="1" applyBorder="1" applyAlignment="1" applyProtection="1">
      <alignment horizontal="center" vertical="center" wrapText="1"/>
      <protection/>
    </xf>
    <xf numFmtId="0" fontId="0" fillId="0" borderId="25" xfId="0" applyNumberFormat="1" applyFont="1" applyFill="1" applyBorder="1" applyAlignment="1" applyProtection="1">
      <alignment horizontal="center" vertical="center" wrapText="1"/>
      <protection/>
    </xf>
    <xf numFmtId="0" fontId="6" fillId="0" borderId="15" xfId="0" applyNumberFormat="1" applyFont="1" applyFill="1" applyBorder="1" applyAlignment="1" applyProtection="1">
      <alignment horizontal="center" vertical="center" wrapText="1"/>
      <protection/>
    </xf>
    <xf numFmtId="0" fontId="6" fillId="0" borderId="25" xfId="0" applyNumberFormat="1" applyFont="1" applyFill="1" applyBorder="1" applyAlignment="1" applyProtection="1">
      <alignment horizontal="center" vertical="center" wrapText="1"/>
      <protection/>
    </xf>
    <xf numFmtId="0" fontId="29" fillId="0" borderId="0" xfId="0" applyNumberFormat="1" applyFont="1" applyFill="1" applyAlignment="1" applyProtection="1">
      <alignment horizontal="left" vertical="center" wrapText="1"/>
      <protection/>
    </xf>
    <xf numFmtId="0" fontId="7" fillId="0" borderId="0" xfId="0" applyNumberFormat="1" applyFont="1" applyFill="1" applyBorder="1" applyAlignment="1" applyProtection="1">
      <alignment horizontal="center" vertical="top" wrapText="1"/>
      <protection/>
    </xf>
    <xf numFmtId="0" fontId="0" fillId="0" borderId="27" xfId="0" applyFont="1" applyFill="1" applyBorder="1" applyAlignment="1">
      <alignment horizontal="center" wrapText="1"/>
    </xf>
    <xf numFmtId="0" fontId="0" fillId="0" borderId="18" xfId="0" applyFont="1" applyFill="1" applyBorder="1" applyAlignment="1">
      <alignment horizontal="center" wrapText="1"/>
    </xf>
    <xf numFmtId="0" fontId="4" fillId="0" borderId="28" xfId="0" applyNumberFormat="1" applyFont="1" applyFill="1" applyBorder="1" applyAlignment="1" applyProtection="1">
      <alignment horizontal="center" vertical="center" wrapText="1"/>
      <protection/>
    </xf>
    <xf numFmtId="0" fontId="0" fillId="0" borderId="15" xfId="0" applyBorder="1" applyAlignment="1">
      <alignment/>
    </xf>
    <xf numFmtId="0" fontId="0" fillId="0" borderId="25" xfId="0" applyBorder="1" applyAlignment="1">
      <alignment/>
    </xf>
    <xf numFmtId="0" fontId="0" fillId="0" borderId="33" xfId="0" applyNumberFormat="1" applyFont="1" applyFill="1" applyBorder="1" applyAlignment="1" applyProtection="1">
      <alignment horizontal="center" vertical="center" wrapText="1"/>
      <protection/>
    </xf>
    <xf numFmtId="0" fontId="0" fillId="0" borderId="31" xfId="0" applyNumberFormat="1" applyFont="1" applyFill="1" applyBorder="1" applyAlignment="1" applyProtection="1">
      <alignment horizontal="center" vertical="center" wrapText="1"/>
      <protection/>
    </xf>
    <xf numFmtId="0" fontId="0" fillId="0" borderId="31" xfId="0" applyBorder="1" applyAlignment="1">
      <alignment horizontal="center" vertical="center" wrapText="1"/>
    </xf>
    <xf numFmtId="0" fontId="0" fillId="0" borderId="34" xfId="0" applyBorder="1" applyAlignment="1">
      <alignment horizontal="center" vertical="center" wrapText="1"/>
    </xf>
    <xf numFmtId="0" fontId="28" fillId="0" borderId="28" xfId="0" applyNumberFormat="1" applyFont="1" applyFill="1" applyBorder="1" applyAlignment="1" applyProtection="1">
      <alignment horizontal="center" vertical="center" wrapText="1"/>
      <protection/>
    </xf>
    <xf numFmtId="0" fontId="0" fillId="0" borderId="28" xfId="0" applyBorder="1" applyAlignment="1">
      <alignment horizontal="center"/>
    </xf>
    <xf numFmtId="0" fontId="0" fillId="0" borderId="15" xfId="0" applyBorder="1" applyAlignment="1">
      <alignment horizontal="center"/>
    </xf>
    <xf numFmtId="0" fontId="28" fillId="0" borderId="29" xfId="0" applyNumberFormat="1" applyFont="1" applyFill="1" applyBorder="1" applyAlignment="1" applyProtection="1">
      <alignment horizontal="center" vertical="center" wrapText="1"/>
      <protection/>
    </xf>
    <xf numFmtId="0" fontId="0" fillId="0" borderId="19" xfId="0" applyBorder="1" applyAlignment="1">
      <alignment vertical="center"/>
    </xf>
    <xf numFmtId="0" fontId="4" fillId="0" borderId="18" xfId="0" applyNumberFormat="1" applyFont="1" applyFill="1" applyBorder="1" applyAlignment="1" applyProtection="1">
      <alignment horizontal="center" vertical="center" wrapText="1"/>
      <protection/>
    </xf>
    <xf numFmtId="0" fontId="4" fillId="0" borderId="24" xfId="0" applyNumberFormat="1" applyFont="1" applyFill="1" applyBorder="1" applyAlignment="1" applyProtection="1">
      <alignment horizontal="center" vertical="center" wrapText="1"/>
      <protection/>
    </xf>
    <xf numFmtId="0" fontId="35" fillId="0" borderId="35" xfId="0" applyNumberFormat="1" applyFont="1" applyFill="1" applyBorder="1" applyAlignment="1" applyProtection="1">
      <alignment horizontal="center"/>
      <protection/>
    </xf>
    <xf numFmtId="0" fontId="35" fillId="0" borderId="21" xfId="0" applyNumberFormat="1" applyFont="1" applyFill="1" applyBorder="1" applyAlignment="1" applyProtection="1">
      <alignment horizontal="center"/>
      <protection/>
    </xf>
    <xf numFmtId="49" fontId="27" fillId="0" borderId="36" xfId="0" applyNumberFormat="1" applyFont="1" applyFill="1" applyBorder="1" applyAlignment="1">
      <alignment horizontal="center" vertical="center"/>
    </xf>
    <xf numFmtId="49" fontId="27" fillId="0" borderId="30" xfId="0" applyNumberFormat="1" applyFont="1" applyFill="1" applyBorder="1" applyAlignment="1">
      <alignment horizontal="center" vertical="center"/>
    </xf>
    <xf numFmtId="49" fontId="27" fillId="0" borderId="37" xfId="0" applyNumberFormat="1" applyFont="1" applyFill="1" applyBorder="1" applyAlignment="1">
      <alignment horizontal="center" vertical="center"/>
    </xf>
    <xf numFmtId="0" fontId="0" fillId="0" borderId="15" xfId="0" applyNumberFormat="1" applyFont="1" applyFill="1" applyBorder="1" applyAlignment="1" applyProtection="1">
      <alignment horizontal="center" vertical="center"/>
      <protection/>
    </xf>
    <xf numFmtId="0" fontId="35" fillId="0" borderId="15" xfId="0" applyNumberFormat="1" applyFont="1" applyFill="1" applyBorder="1" applyAlignment="1" applyProtection="1">
      <alignment horizontal="center" vertical="center"/>
      <protection/>
    </xf>
    <xf numFmtId="49" fontId="0" fillId="0" borderId="18" xfId="0" applyNumberFormat="1" applyFill="1" applyBorder="1" applyAlignment="1">
      <alignment horizontal="center" vertical="center"/>
    </xf>
    <xf numFmtId="49" fontId="0" fillId="0" borderId="35" xfId="0" applyNumberFormat="1" applyFont="1" applyFill="1" applyBorder="1" applyAlignment="1" applyProtection="1">
      <alignment horizontal="center" vertical="center"/>
      <protection/>
    </xf>
    <xf numFmtId="49" fontId="0" fillId="0" borderId="31" xfId="0" applyNumberFormat="1" applyFont="1" applyFill="1" applyBorder="1" applyAlignment="1" applyProtection="1">
      <alignment horizontal="center" vertical="center"/>
      <protection/>
    </xf>
    <xf numFmtId="49" fontId="0" fillId="0" borderId="34" xfId="0" applyNumberFormat="1" applyFont="1" applyFill="1" applyBorder="1" applyAlignment="1" applyProtection="1">
      <alignment horizontal="center" vertical="center"/>
      <protection/>
    </xf>
    <xf numFmtId="0" fontId="35" fillId="0" borderId="15" xfId="0" applyNumberFormat="1" applyFont="1" applyFill="1" applyBorder="1" applyAlignment="1" applyProtection="1">
      <alignment horizontal="center" vertical="center"/>
      <protection/>
    </xf>
    <xf numFmtId="0" fontId="36" fillId="0" borderId="38" xfId="0" applyNumberFormat="1" applyFont="1" applyFill="1" applyBorder="1" applyAlignment="1" applyProtection="1">
      <alignment vertical="center"/>
      <protection/>
    </xf>
    <xf numFmtId="0" fontId="36" fillId="0" borderId="22" xfId="0" applyNumberFormat="1" applyFont="1" applyFill="1" applyBorder="1" applyAlignment="1" applyProtection="1">
      <alignment vertical="center"/>
      <protection/>
    </xf>
    <xf numFmtId="0" fontId="36" fillId="0" borderId="35" xfId="0" applyNumberFormat="1" applyFont="1" applyFill="1" applyBorder="1" applyAlignment="1" applyProtection="1">
      <alignment horizontal="center" vertical="center"/>
      <protection/>
    </xf>
    <xf numFmtId="0" fontId="36" fillId="0" borderId="21" xfId="0" applyNumberFormat="1" applyFont="1" applyFill="1" applyBorder="1" applyAlignment="1" applyProtection="1">
      <alignment horizontal="center" vertical="center"/>
      <protection/>
    </xf>
    <xf numFmtId="0" fontId="35" fillId="0" borderId="35" xfId="0" applyNumberFormat="1" applyFont="1" applyFill="1" applyBorder="1" applyAlignment="1" applyProtection="1">
      <alignment horizontal="center" vertical="center"/>
      <protection/>
    </xf>
    <xf numFmtId="0" fontId="35" fillId="0" borderId="21" xfId="0" applyNumberFormat="1" applyFont="1" applyFill="1" applyBorder="1" applyAlignment="1" applyProtection="1">
      <alignment horizontal="center" vertical="center"/>
      <protection/>
    </xf>
  </cellXfs>
  <cellStyles count="109">
    <cellStyle name="Normal" xfId="0"/>
    <cellStyle name="20% - Акцент1" xfId="15"/>
    <cellStyle name="20% - Акцент2" xfId="16"/>
    <cellStyle name="20% - Акцент3" xfId="17"/>
    <cellStyle name="20% - Акцент4" xfId="18"/>
    <cellStyle name="20% - Акцент5" xfId="19"/>
    <cellStyle name="20% - Акцент6" xfId="20"/>
    <cellStyle name="20% – Акцентування1" xfId="21"/>
    <cellStyle name="20% – Акцентування2" xfId="22"/>
    <cellStyle name="20% – Акцентування3" xfId="23"/>
    <cellStyle name="20% – Акцентування4" xfId="24"/>
    <cellStyle name="20% – Акцентування5" xfId="25"/>
    <cellStyle name="20% – Акцентування6" xfId="26"/>
    <cellStyle name="40% - Акцент1" xfId="27"/>
    <cellStyle name="40% - Акцент2" xfId="28"/>
    <cellStyle name="40% - Акцент3" xfId="29"/>
    <cellStyle name="40% - Акцент4" xfId="30"/>
    <cellStyle name="40% - Акцент5" xfId="31"/>
    <cellStyle name="40% - Акцент6" xfId="32"/>
    <cellStyle name="40% – Акцентування1" xfId="33"/>
    <cellStyle name="40% – Акцентування2" xfId="34"/>
    <cellStyle name="40% – Акцентування3" xfId="35"/>
    <cellStyle name="40% – Акцентування4" xfId="36"/>
    <cellStyle name="40% – Акцентування5" xfId="37"/>
    <cellStyle name="40% – Акцентування6" xfId="38"/>
    <cellStyle name="60% - Акцент1" xfId="39"/>
    <cellStyle name="60% - Акцент2" xfId="40"/>
    <cellStyle name="60% - Акцент3" xfId="41"/>
    <cellStyle name="60% - Акцент4" xfId="42"/>
    <cellStyle name="60% - Акцент5" xfId="43"/>
    <cellStyle name="60% - Акцент6" xfId="44"/>
    <cellStyle name="60% – Акцентування1" xfId="45"/>
    <cellStyle name="60% – Акцентування2" xfId="46"/>
    <cellStyle name="60% – Акцентування3" xfId="47"/>
    <cellStyle name="60% – Акцентування4" xfId="48"/>
    <cellStyle name="60% – Акцентування5" xfId="49"/>
    <cellStyle name="60% – Акцентування6" xfId="50"/>
    <cellStyle name="Normal_meresha_07" xfId="51"/>
    <cellStyle name="Акцент1" xfId="52"/>
    <cellStyle name="Акцент2" xfId="53"/>
    <cellStyle name="Акцент3" xfId="54"/>
    <cellStyle name="Акцент4" xfId="55"/>
    <cellStyle name="Акцент5" xfId="56"/>
    <cellStyle name="Акцент6" xfId="57"/>
    <cellStyle name="Акцентування1" xfId="58"/>
    <cellStyle name="Акцентування2" xfId="59"/>
    <cellStyle name="Акцентування3" xfId="60"/>
    <cellStyle name="Акцентування4" xfId="61"/>
    <cellStyle name="Акцентування5" xfId="62"/>
    <cellStyle name="Акцентування6" xfId="63"/>
    <cellStyle name="Ввід" xfId="64"/>
    <cellStyle name="Ввод " xfId="65"/>
    <cellStyle name="Вывод" xfId="66"/>
    <cellStyle name="Вычисление" xfId="67"/>
    <cellStyle name="Hyperlink" xfId="68"/>
    <cellStyle name="Currency" xfId="69"/>
    <cellStyle name="Currency [0]" xfId="70"/>
    <cellStyle name="Добре" xfId="71"/>
    <cellStyle name="Заголовок 1" xfId="72"/>
    <cellStyle name="Заголовок 2" xfId="73"/>
    <cellStyle name="Заголовок 3" xfId="74"/>
    <cellStyle name="Заголовок 4" xfId="75"/>
    <cellStyle name="Звичайний 10" xfId="76"/>
    <cellStyle name="Звичайний 11" xfId="77"/>
    <cellStyle name="Звичайний 12" xfId="78"/>
    <cellStyle name="Звичайний 13" xfId="79"/>
    <cellStyle name="Звичайний 14" xfId="80"/>
    <cellStyle name="Звичайний 15" xfId="81"/>
    <cellStyle name="Звичайний 16" xfId="82"/>
    <cellStyle name="Звичайний 17" xfId="83"/>
    <cellStyle name="Звичайний 18" xfId="84"/>
    <cellStyle name="Звичайний 19" xfId="85"/>
    <cellStyle name="Звичайний 2" xfId="86"/>
    <cellStyle name="Звичайний 20" xfId="87"/>
    <cellStyle name="Звичайний 3" xfId="88"/>
    <cellStyle name="Звичайний 4" xfId="89"/>
    <cellStyle name="Звичайний 5" xfId="90"/>
    <cellStyle name="Звичайний 6" xfId="91"/>
    <cellStyle name="Звичайний 7" xfId="92"/>
    <cellStyle name="Звичайний 8" xfId="93"/>
    <cellStyle name="Звичайний 9" xfId="94"/>
    <cellStyle name="Звичайний_Додаток _ 3 зм_ни 4575" xfId="95"/>
    <cellStyle name="Зв'язана клітинка" xfId="96"/>
    <cellStyle name="Итог" xfId="97"/>
    <cellStyle name="Контрольна клітинка" xfId="98"/>
    <cellStyle name="Контрольная ячейка" xfId="99"/>
    <cellStyle name="Назва" xfId="100"/>
    <cellStyle name="Название" xfId="101"/>
    <cellStyle name="Нейтральный" xfId="102"/>
    <cellStyle name="Обчислення" xfId="103"/>
    <cellStyle name="Обычный 2" xfId="104"/>
    <cellStyle name="Followed Hyperlink" xfId="105"/>
    <cellStyle name="Підсумок" xfId="106"/>
    <cellStyle name="Плохой" xfId="107"/>
    <cellStyle name="Поганий" xfId="108"/>
    <cellStyle name="Пояснение" xfId="109"/>
    <cellStyle name="Примечание" xfId="110"/>
    <cellStyle name="Примітка" xfId="111"/>
    <cellStyle name="Percent" xfId="112"/>
    <cellStyle name="Результат" xfId="113"/>
    <cellStyle name="Связанная ячейка" xfId="114"/>
    <cellStyle name="Середній" xfId="115"/>
    <cellStyle name="Стиль 1" xfId="116"/>
    <cellStyle name="Текст попередження" xfId="117"/>
    <cellStyle name="Текст пояснення" xfId="118"/>
    <cellStyle name="Текст предупреждения" xfId="119"/>
    <cellStyle name="Comma" xfId="120"/>
    <cellStyle name="Comma [0]" xfId="121"/>
    <cellStyle name="Хороший" xfId="1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P180"/>
  <sheetViews>
    <sheetView tabSelected="1" workbookViewId="0" topLeftCell="B1">
      <pane xSplit="2" topLeftCell="D2" activePane="topRight" state="frozen"/>
      <selection pane="topLeft" activeCell="B68" sqref="B68"/>
      <selection pane="topRight" activeCell="M2" sqref="M2:O2"/>
    </sheetView>
  </sheetViews>
  <sheetFormatPr defaultColWidth="9.16015625" defaultRowHeight="12.75"/>
  <cols>
    <col min="1" max="1" width="3.83203125" style="4" hidden="1" customWidth="1"/>
    <col min="2" max="2" width="17.33203125" style="11" customWidth="1"/>
    <col min="3" max="3" width="11.66015625" style="11" customWidth="1"/>
    <col min="4" max="4" width="42" style="14" customWidth="1"/>
    <col min="5" max="6" width="16.66015625" style="4" customWidth="1"/>
    <col min="7" max="7" width="16.83203125" style="4" customWidth="1"/>
    <col min="8" max="8" width="16.66015625" style="4" customWidth="1"/>
    <col min="9" max="10" width="12.66015625" style="4" customWidth="1"/>
    <col min="11" max="11" width="13.83203125" style="4" customWidth="1"/>
    <col min="12" max="15" width="12.66015625" style="4" customWidth="1"/>
    <col min="16" max="16" width="17.16015625" style="4" customWidth="1"/>
    <col min="17" max="16384" width="9.16015625" style="15" customWidth="1"/>
  </cols>
  <sheetData>
    <row r="1" spans="1:16" ht="66" customHeight="1">
      <c r="A1" s="2"/>
      <c r="D1" s="3"/>
      <c r="E1" s="1"/>
      <c r="F1" s="1"/>
      <c r="G1" s="1"/>
      <c r="H1" s="1"/>
      <c r="I1" s="1"/>
      <c r="J1" s="1"/>
      <c r="K1" s="1"/>
      <c r="L1" s="1"/>
      <c r="M1" s="142" t="s">
        <v>261</v>
      </c>
      <c r="N1" s="142"/>
      <c r="O1" s="142"/>
      <c r="P1" s="22"/>
    </row>
    <row r="2" spans="1:16" ht="12.75" customHeight="1">
      <c r="A2" s="2"/>
      <c r="D2" s="3"/>
      <c r="E2" s="1"/>
      <c r="F2" s="1"/>
      <c r="G2" s="1"/>
      <c r="H2" s="1"/>
      <c r="I2" s="1"/>
      <c r="J2" s="1"/>
      <c r="K2" s="1"/>
      <c r="L2" s="1"/>
      <c r="M2" s="142" t="s">
        <v>260</v>
      </c>
      <c r="N2" s="142"/>
      <c r="O2" s="142"/>
      <c r="P2" s="22"/>
    </row>
    <row r="3" spans="1:16" ht="45" customHeight="1">
      <c r="A3" s="2"/>
      <c r="B3" s="143" t="s">
        <v>259</v>
      </c>
      <c r="C3" s="143"/>
      <c r="D3" s="143"/>
      <c r="E3" s="143"/>
      <c r="F3" s="143"/>
      <c r="G3" s="143"/>
      <c r="H3" s="143"/>
      <c r="I3" s="143"/>
      <c r="J3" s="143"/>
      <c r="K3" s="143"/>
      <c r="L3" s="143"/>
      <c r="M3" s="143"/>
      <c r="N3" s="143"/>
      <c r="O3" s="143"/>
      <c r="P3" s="143"/>
    </row>
    <row r="4" spans="2:16" ht="19.5" thickBot="1">
      <c r="B4" s="28"/>
      <c r="C4" s="28"/>
      <c r="D4" s="29"/>
      <c r="E4" s="30"/>
      <c r="F4" s="30"/>
      <c r="G4" s="31"/>
      <c r="H4" s="30"/>
      <c r="I4" s="30"/>
      <c r="J4" s="5"/>
      <c r="K4" s="6"/>
      <c r="L4" s="6"/>
      <c r="M4" s="6"/>
      <c r="N4" s="6"/>
      <c r="O4" s="6"/>
      <c r="P4" s="13" t="s">
        <v>220</v>
      </c>
    </row>
    <row r="5" spans="2:16" ht="12.75">
      <c r="B5" s="144" t="s">
        <v>223</v>
      </c>
      <c r="C5" s="146" t="s">
        <v>9</v>
      </c>
      <c r="D5" s="149" t="s">
        <v>222</v>
      </c>
      <c r="E5" s="153" t="s">
        <v>0</v>
      </c>
      <c r="F5" s="154"/>
      <c r="G5" s="154"/>
      <c r="H5" s="154"/>
      <c r="I5" s="154"/>
      <c r="J5" s="153" t="s">
        <v>1</v>
      </c>
      <c r="K5" s="154"/>
      <c r="L5" s="154"/>
      <c r="M5" s="154"/>
      <c r="N5" s="154"/>
      <c r="O5" s="154"/>
      <c r="P5" s="156" t="s">
        <v>2</v>
      </c>
    </row>
    <row r="6" spans="2:16" ht="12.75">
      <c r="B6" s="145"/>
      <c r="C6" s="147"/>
      <c r="D6" s="150"/>
      <c r="E6" s="155"/>
      <c r="F6" s="155"/>
      <c r="G6" s="155"/>
      <c r="H6" s="155"/>
      <c r="I6" s="155"/>
      <c r="J6" s="155"/>
      <c r="K6" s="155"/>
      <c r="L6" s="155"/>
      <c r="M6" s="155"/>
      <c r="N6" s="155"/>
      <c r="O6" s="155"/>
      <c r="P6" s="157"/>
    </row>
    <row r="7" spans="2:16" ht="12.75">
      <c r="B7" s="145"/>
      <c r="C7" s="147"/>
      <c r="D7" s="150"/>
      <c r="E7" s="155"/>
      <c r="F7" s="155"/>
      <c r="G7" s="155"/>
      <c r="H7" s="155"/>
      <c r="I7" s="155"/>
      <c r="J7" s="155"/>
      <c r="K7" s="155"/>
      <c r="L7" s="155"/>
      <c r="M7" s="155"/>
      <c r="N7" s="155"/>
      <c r="O7" s="155"/>
      <c r="P7" s="157"/>
    </row>
    <row r="8" spans="2:16" ht="45" customHeight="1">
      <c r="B8" s="145"/>
      <c r="C8" s="147"/>
      <c r="D8" s="150"/>
      <c r="E8" s="155"/>
      <c r="F8" s="155"/>
      <c r="G8" s="155"/>
      <c r="H8" s="155"/>
      <c r="I8" s="155"/>
      <c r="J8" s="155"/>
      <c r="K8" s="155"/>
      <c r="L8" s="155"/>
      <c r="M8" s="155"/>
      <c r="N8" s="155"/>
      <c r="O8" s="155"/>
      <c r="P8" s="157"/>
    </row>
    <row r="9" spans="1:16" ht="21.75" customHeight="1">
      <c r="A9" s="7"/>
      <c r="B9" s="158" t="s">
        <v>12</v>
      </c>
      <c r="C9" s="147"/>
      <c r="D9" s="151"/>
      <c r="E9" s="155"/>
      <c r="F9" s="155"/>
      <c r="G9" s="155"/>
      <c r="H9" s="155"/>
      <c r="I9" s="155"/>
      <c r="J9" s="155"/>
      <c r="K9" s="155"/>
      <c r="L9" s="155"/>
      <c r="M9" s="155"/>
      <c r="N9" s="155"/>
      <c r="O9" s="155"/>
      <c r="P9" s="157"/>
    </row>
    <row r="10" spans="1:16" ht="16.5" customHeight="1">
      <c r="A10" s="8"/>
      <c r="B10" s="158"/>
      <c r="C10" s="147"/>
      <c r="D10" s="151"/>
      <c r="E10" s="138" t="s">
        <v>3</v>
      </c>
      <c r="F10" s="140" t="s">
        <v>4</v>
      </c>
      <c r="G10" s="138" t="s">
        <v>5</v>
      </c>
      <c r="H10" s="138"/>
      <c r="I10" s="140" t="s">
        <v>6</v>
      </c>
      <c r="J10" s="138" t="s">
        <v>3</v>
      </c>
      <c r="K10" s="140" t="s">
        <v>4</v>
      </c>
      <c r="L10" s="138" t="s">
        <v>5</v>
      </c>
      <c r="M10" s="138"/>
      <c r="N10" s="140" t="s">
        <v>6</v>
      </c>
      <c r="O10" s="10" t="s">
        <v>5</v>
      </c>
      <c r="P10" s="157"/>
    </row>
    <row r="11" spans="1:16" ht="20.25" customHeight="1">
      <c r="A11" s="9"/>
      <c r="B11" s="158"/>
      <c r="C11" s="147"/>
      <c r="D11" s="151"/>
      <c r="E11" s="138"/>
      <c r="F11" s="140"/>
      <c r="G11" s="138" t="s">
        <v>7</v>
      </c>
      <c r="H11" s="138" t="s">
        <v>8</v>
      </c>
      <c r="I11" s="140"/>
      <c r="J11" s="138"/>
      <c r="K11" s="140"/>
      <c r="L11" s="138" t="s">
        <v>7</v>
      </c>
      <c r="M11" s="138" t="s">
        <v>8</v>
      </c>
      <c r="N11" s="140"/>
      <c r="O11" s="136" t="s">
        <v>11</v>
      </c>
      <c r="P11" s="157"/>
    </row>
    <row r="12" spans="1:16" ht="45.75" customHeight="1" thickBot="1">
      <c r="A12" s="12"/>
      <c r="B12" s="159"/>
      <c r="C12" s="148"/>
      <c r="D12" s="152"/>
      <c r="E12" s="139"/>
      <c r="F12" s="141"/>
      <c r="G12" s="139"/>
      <c r="H12" s="139"/>
      <c r="I12" s="141"/>
      <c r="J12" s="139"/>
      <c r="K12" s="141"/>
      <c r="L12" s="139"/>
      <c r="M12" s="139"/>
      <c r="N12" s="141"/>
      <c r="O12" s="137"/>
      <c r="P12" s="135"/>
    </row>
    <row r="13" spans="1:16" s="17" customFormat="1" ht="25.5" hidden="1">
      <c r="A13" s="23"/>
      <c r="B13" s="115" t="s">
        <v>13</v>
      </c>
      <c r="C13" s="116"/>
      <c r="D13" s="117" t="s">
        <v>82</v>
      </c>
      <c r="E13" s="118"/>
      <c r="F13" s="118"/>
      <c r="G13" s="118"/>
      <c r="H13" s="118"/>
      <c r="I13" s="118"/>
      <c r="J13" s="118"/>
      <c r="K13" s="118"/>
      <c r="L13" s="118"/>
      <c r="M13" s="118"/>
      <c r="N13" s="118"/>
      <c r="O13" s="118"/>
      <c r="P13" s="119"/>
    </row>
    <row r="14" spans="1:16" s="17" customFormat="1" ht="0.75" customHeight="1" hidden="1">
      <c r="A14" s="23"/>
      <c r="B14" s="70" t="s">
        <v>14</v>
      </c>
      <c r="C14" s="81"/>
      <c r="D14" s="72" t="s">
        <v>83</v>
      </c>
      <c r="E14" s="73"/>
      <c r="F14" s="73"/>
      <c r="G14" s="73"/>
      <c r="H14" s="73"/>
      <c r="I14" s="73"/>
      <c r="J14" s="73"/>
      <c r="K14" s="73"/>
      <c r="L14" s="73"/>
      <c r="M14" s="73"/>
      <c r="N14" s="73"/>
      <c r="O14" s="73"/>
      <c r="P14" s="76"/>
    </row>
    <row r="15" spans="1:16" ht="16.5" hidden="1">
      <c r="A15" s="24"/>
      <c r="B15" s="74" t="s">
        <v>10</v>
      </c>
      <c r="C15" s="71" t="s">
        <v>188</v>
      </c>
      <c r="D15" s="75" t="s">
        <v>84</v>
      </c>
      <c r="E15" s="88"/>
      <c r="F15" s="88"/>
      <c r="G15" s="88"/>
      <c r="H15" s="88"/>
      <c r="I15" s="88"/>
      <c r="J15" s="88"/>
      <c r="K15" s="69"/>
      <c r="L15" s="69"/>
      <c r="M15" s="69"/>
      <c r="N15" s="69"/>
      <c r="O15" s="69"/>
      <c r="P15" s="76"/>
    </row>
    <row r="16" spans="1:16" s="17" customFormat="1" ht="16.5" hidden="1">
      <c r="A16" s="23"/>
      <c r="B16" s="70" t="s">
        <v>15</v>
      </c>
      <c r="C16" s="81"/>
      <c r="D16" s="72" t="s">
        <v>85</v>
      </c>
      <c r="E16" s="73"/>
      <c r="F16" s="73"/>
      <c r="G16" s="73"/>
      <c r="H16" s="73"/>
      <c r="I16" s="73"/>
      <c r="J16" s="73"/>
      <c r="K16" s="73"/>
      <c r="L16" s="73"/>
      <c r="M16" s="73"/>
      <c r="N16" s="73"/>
      <c r="O16" s="73"/>
      <c r="P16" s="76"/>
    </row>
    <row r="17" spans="1:16" ht="16.5" hidden="1">
      <c r="A17" s="24"/>
      <c r="B17" s="74" t="s">
        <v>16</v>
      </c>
      <c r="C17" s="71" t="s">
        <v>189</v>
      </c>
      <c r="D17" s="75" t="s">
        <v>86</v>
      </c>
      <c r="E17" s="69"/>
      <c r="F17" s="69"/>
      <c r="G17" s="69"/>
      <c r="H17" s="69"/>
      <c r="I17" s="69"/>
      <c r="J17" s="69"/>
      <c r="K17" s="69"/>
      <c r="L17" s="69"/>
      <c r="M17" s="69"/>
      <c r="N17" s="69"/>
      <c r="O17" s="69"/>
      <c r="P17" s="76"/>
    </row>
    <row r="18" spans="1:16" ht="27.75" customHeight="1" hidden="1">
      <c r="A18" s="24"/>
      <c r="B18" s="74"/>
      <c r="C18" s="71"/>
      <c r="D18" s="75" t="s">
        <v>226</v>
      </c>
      <c r="E18" s="69"/>
      <c r="F18" s="69"/>
      <c r="G18" s="69"/>
      <c r="H18" s="69"/>
      <c r="I18" s="69"/>
      <c r="J18" s="69"/>
      <c r="K18" s="69"/>
      <c r="L18" s="69"/>
      <c r="M18" s="69"/>
      <c r="N18" s="69"/>
      <c r="O18" s="69"/>
      <c r="P18" s="76"/>
    </row>
    <row r="19" spans="1:16" ht="28.5" customHeight="1" hidden="1">
      <c r="A19" s="24"/>
      <c r="B19" s="74"/>
      <c r="C19" s="71"/>
      <c r="D19" s="75" t="s">
        <v>228</v>
      </c>
      <c r="E19" s="69"/>
      <c r="F19" s="69"/>
      <c r="G19" s="69"/>
      <c r="H19" s="69"/>
      <c r="I19" s="69"/>
      <c r="J19" s="69"/>
      <c r="K19" s="69"/>
      <c r="L19" s="69"/>
      <c r="M19" s="69"/>
      <c r="N19" s="69"/>
      <c r="O19" s="69"/>
      <c r="P19" s="76"/>
    </row>
    <row r="20" spans="1:16" ht="26.25" hidden="1">
      <c r="A20" s="24"/>
      <c r="B20" s="74" t="s">
        <v>17</v>
      </c>
      <c r="C20" s="71" t="s">
        <v>190</v>
      </c>
      <c r="D20" s="96" t="s">
        <v>87</v>
      </c>
      <c r="E20" s="69"/>
      <c r="F20" s="69"/>
      <c r="G20" s="69"/>
      <c r="H20" s="69"/>
      <c r="I20" s="69"/>
      <c r="J20" s="69"/>
      <c r="K20" s="69"/>
      <c r="L20" s="69"/>
      <c r="M20" s="69"/>
      <c r="N20" s="69"/>
      <c r="O20" s="69"/>
      <c r="P20" s="76"/>
    </row>
    <row r="21" spans="1:16" ht="25.5" hidden="1">
      <c r="A21" s="24"/>
      <c r="B21" s="74"/>
      <c r="C21" s="71"/>
      <c r="D21" s="75" t="s">
        <v>226</v>
      </c>
      <c r="E21" s="69"/>
      <c r="F21" s="69"/>
      <c r="G21" s="69"/>
      <c r="H21" s="69"/>
      <c r="I21" s="69"/>
      <c r="J21" s="69"/>
      <c r="K21" s="69"/>
      <c r="L21" s="69"/>
      <c r="M21" s="69"/>
      <c r="N21" s="69"/>
      <c r="O21" s="69"/>
      <c r="P21" s="76"/>
    </row>
    <row r="22" spans="1:16" ht="25.5" hidden="1">
      <c r="A22" s="24"/>
      <c r="B22" s="74"/>
      <c r="C22" s="71"/>
      <c r="D22" s="75" t="s">
        <v>228</v>
      </c>
      <c r="E22" s="69"/>
      <c r="F22" s="69"/>
      <c r="G22" s="69"/>
      <c r="H22" s="69"/>
      <c r="I22" s="69"/>
      <c r="J22" s="69"/>
      <c r="K22" s="69"/>
      <c r="L22" s="69"/>
      <c r="M22" s="69"/>
      <c r="N22" s="69"/>
      <c r="O22" s="69"/>
      <c r="P22" s="76"/>
    </row>
    <row r="23" spans="1:16" ht="16.5" hidden="1">
      <c r="A23" s="24"/>
      <c r="B23" s="74" t="s">
        <v>18</v>
      </c>
      <c r="C23" s="71" t="s">
        <v>191</v>
      </c>
      <c r="D23" s="75" t="s">
        <v>88</v>
      </c>
      <c r="E23" s="69"/>
      <c r="F23" s="69"/>
      <c r="G23" s="69"/>
      <c r="H23" s="69"/>
      <c r="I23" s="69"/>
      <c r="J23" s="69"/>
      <c r="K23" s="69"/>
      <c r="L23" s="69"/>
      <c r="M23" s="69"/>
      <c r="N23" s="69"/>
      <c r="O23" s="69"/>
      <c r="P23" s="76"/>
    </row>
    <row r="24" spans="1:16" s="17" customFormat="1" ht="25.5" hidden="1">
      <c r="A24" s="23"/>
      <c r="B24" s="70" t="s">
        <v>19</v>
      </c>
      <c r="C24" s="71"/>
      <c r="D24" s="72" t="s">
        <v>89</v>
      </c>
      <c r="E24" s="73"/>
      <c r="F24" s="73"/>
      <c r="G24" s="73"/>
      <c r="H24" s="73"/>
      <c r="I24" s="73"/>
      <c r="J24" s="69"/>
      <c r="K24" s="73"/>
      <c r="L24" s="73"/>
      <c r="M24" s="73"/>
      <c r="N24" s="73"/>
      <c r="O24" s="73"/>
      <c r="P24" s="76"/>
    </row>
    <row r="25" spans="1:16" ht="25.5" hidden="1">
      <c r="A25" s="24"/>
      <c r="B25" s="74" t="s">
        <v>20</v>
      </c>
      <c r="C25" s="71" t="s">
        <v>192</v>
      </c>
      <c r="D25" s="75" t="s">
        <v>90</v>
      </c>
      <c r="E25" s="69"/>
      <c r="F25" s="69"/>
      <c r="G25" s="69"/>
      <c r="H25" s="69"/>
      <c r="I25" s="69"/>
      <c r="J25" s="69"/>
      <c r="K25" s="69"/>
      <c r="L25" s="69"/>
      <c r="M25" s="69"/>
      <c r="N25" s="69"/>
      <c r="O25" s="69"/>
      <c r="P25" s="76"/>
    </row>
    <row r="26" spans="1:16" ht="25.5" hidden="1">
      <c r="A26" s="24"/>
      <c r="B26" s="74" t="s">
        <v>21</v>
      </c>
      <c r="C26" s="71" t="s">
        <v>193</v>
      </c>
      <c r="D26" s="75" t="s">
        <v>91</v>
      </c>
      <c r="E26" s="69"/>
      <c r="F26" s="69"/>
      <c r="G26" s="69"/>
      <c r="H26" s="69"/>
      <c r="I26" s="69"/>
      <c r="J26" s="69"/>
      <c r="K26" s="69"/>
      <c r="L26" s="69"/>
      <c r="M26" s="69"/>
      <c r="N26" s="69"/>
      <c r="O26" s="69"/>
      <c r="P26" s="76"/>
    </row>
    <row r="27" spans="1:16" ht="16.5" hidden="1">
      <c r="A27" s="24"/>
      <c r="B27" s="74" t="s">
        <v>22</v>
      </c>
      <c r="C27" s="71" t="s">
        <v>194</v>
      </c>
      <c r="D27" s="75" t="s">
        <v>92</v>
      </c>
      <c r="E27" s="69"/>
      <c r="F27" s="69"/>
      <c r="G27" s="69"/>
      <c r="H27" s="69"/>
      <c r="I27" s="69"/>
      <c r="J27" s="69"/>
      <c r="K27" s="69"/>
      <c r="L27" s="69"/>
      <c r="M27" s="69"/>
      <c r="N27" s="69"/>
      <c r="O27" s="69"/>
      <c r="P27" s="76"/>
    </row>
    <row r="28" spans="1:16" ht="25.5" hidden="1">
      <c r="A28" s="24"/>
      <c r="B28" s="74" t="s">
        <v>23</v>
      </c>
      <c r="C28" s="71" t="s">
        <v>194</v>
      </c>
      <c r="D28" s="75" t="s">
        <v>93</v>
      </c>
      <c r="E28" s="69"/>
      <c r="F28" s="69"/>
      <c r="G28" s="69"/>
      <c r="H28" s="69"/>
      <c r="I28" s="69"/>
      <c r="J28" s="69"/>
      <c r="K28" s="69"/>
      <c r="L28" s="69"/>
      <c r="M28" s="69"/>
      <c r="N28" s="69"/>
      <c r="O28" s="69"/>
      <c r="P28" s="76"/>
    </row>
    <row r="29" spans="1:16" ht="25.5" hidden="1">
      <c r="A29" s="24"/>
      <c r="B29" s="74" t="s">
        <v>24</v>
      </c>
      <c r="C29" s="71" t="s">
        <v>194</v>
      </c>
      <c r="D29" s="75" t="s">
        <v>94</v>
      </c>
      <c r="E29" s="69"/>
      <c r="F29" s="69"/>
      <c r="G29" s="69"/>
      <c r="H29" s="69"/>
      <c r="I29" s="69"/>
      <c r="J29" s="69"/>
      <c r="K29" s="69"/>
      <c r="L29" s="69"/>
      <c r="M29" s="69"/>
      <c r="N29" s="69"/>
      <c r="O29" s="69"/>
      <c r="P29" s="76"/>
    </row>
    <row r="30" spans="1:16" s="17" customFormat="1" ht="16.5" hidden="1">
      <c r="A30" s="23"/>
      <c r="B30" s="70">
        <v>100000</v>
      </c>
      <c r="C30" s="71"/>
      <c r="D30" s="72" t="s">
        <v>95</v>
      </c>
      <c r="E30" s="73"/>
      <c r="F30" s="73"/>
      <c r="G30" s="73"/>
      <c r="H30" s="73"/>
      <c r="I30" s="73"/>
      <c r="J30" s="69"/>
      <c r="K30" s="73"/>
      <c r="L30" s="73"/>
      <c r="M30" s="73"/>
      <c r="N30" s="73"/>
      <c r="O30" s="73"/>
      <c r="P30" s="76"/>
    </row>
    <row r="31" spans="1:16" s="18" customFormat="1" ht="25.5" hidden="1">
      <c r="A31" s="25"/>
      <c r="B31" s="80" t="s">
        <v>184</v>
      </c>
      <c r="C31" s="71" t="s">
        <v>195</v>
      </c>
      <c r="D31" s="75" t="s">
        <v>185</v>
      </c>
      <c r="E31" s="69"/>
      <c r="F31" s="69"/>
      <c r="G31" s="69"/>
      <c r="H31" s="69"/>
      <c r="I31" s="69"/>
      <c r="J31" s="68"/>
      <c r="K31" s="69"/>
      <c r="L31" s="69"/>
      <c r="M31" s="69"/>
      <c r="N31" s="69"/>
      <c r="O31" s="69"/>
      <c r="P31" s="76"/>
    </row>
    <row r="32" spans="1:16" s="18" customFormat="1" ht="0.75" customHeight="1" hidden="1">
      <c r="A32" s="25"/>
      <c r="B32" s="80" t="s">
        <v>230</v>
      </c>
      <c r="C32" s="71" t="s">
        <v>196</v>
      </c>
      <c r="D32" s="113" t="s">
        <v>231</v>
      </c>
      <c r="E32" s="69"/>
      <c r="F32" s="69"/>
      <c r="G32" s="69"/>
      <c r="H32" s="69"/>
      <c r="I32" s="69"/>
      <c r="J32" s="68"/>
      <c r="K32" s="69"/>
      <c r="L32" s="69"/>
      <c r="M32" s="69"/>
      <c r="N32" s="69"/>
      <c r="O32" s="69"/>
      <c r="P32" s="76"/>
    </row>
    <row r="33" spans="1:16" ht="16.5" hidden="1">
      <c r="A33" s="24"/>
      <c r="B33" s="74">
        <v>100203</v>
      </c>
      <c r="C33" s="71" t="s">
        <v>196</v>
      </c>
      <c r="D33" s="75" t="s">
        <v>96</v>
      </c>
      <c r="E33" s="69"/>
      <c r="F33" s="69"/>
      <c r="G33" s="69"/>
      <c r="H33" s="69"/>
      <c r="I33" s="69"/>
      <c r="J33" s="68"/>
      <c r="K33" s="69"/>
      <c r="L33" s="69"/>
      <c r="M33" s="69"/>
      <c r="N33" s="69"/>
      <c r="O33" s="69"/>
      <c r="P33" s="76"/>
    </row>
    <row r="34" spans="1:16" ht="51.75" hidden="1">
      <c r="A34" s="24"/>
      <c r="B34" s="74" t="s">
        <v>25</v>
      </c>
      <c r="C34" s="71" t="s">
        <v>196</v>
      </c>
      <c r="D34" s="114" t="s">
        <v>97</v>
      </c>
      <c r="E34" s="69"/>
      <c r="F34" s="69"/>
      <c r="G34" s="69"/>
      <c r="H34" s="69"/>
      <c r="I34" s="69"/>
      <c r="J34" s="68"/>
      <c r="K34" s="69"/>
      <c r="L34" s="69"/>
      <c r="M34" s="69"/>
      <c r="N34" s="69"/>
      <c r="O34" s="69"/>
      <c r="P34" s="76"/>
    </row>
    <row r="35" spans="1:16" s="17" customFormat="1" ht="16.5" hidden="1">
      <c r="A35" s="23"/>
      <c r="B35" s="70">
        <v>120000</v>
      </c>
      <c r="C35" s="71"/>
      <c r="D35" s="72" t="s">
        <v>98</v>
      </c>
      <c r="E35" s="73"/>
      <c r="F35" s="73"/>
      <c r="G35" s="73"/>
      <c r="H35" s="73"/>
      <c r="I35" s="73"/>
      <c r="J35" s="73"/>
      <c r="K35" s="73"/>
      <c r="L35" s="73"/>
      <c r="M35" s="73"/>
      <c r="N35" s="73"/>
      <c r="O35" s="73"/>
      <c r="P35" s="76"/>
    </row>
    <row r="36" spans="1:16" s="18" customFormat="1" ht="16.5" hidden="1">
      <c r="A36" s="25"/>
      <c r="B36" s="97">
        <v>120100</v>
      </c>
      <c r="C36" s="98" t="s">
        <v>197</v>
      </c>
      <c r="D36" s="99" t="s">
        <v>99</v>
      </c>
      <c r="E36" s="69"/>
      <c r="F36" s="69"/>
      <c r="G36" s="69"/>
      <c r="H36" s="69"/>
      <c r="I36" s="69"/>
      <c r="J36" s="73"/>
      <c r="K36" s="69"/>
      <c r="L36" s="69"/>
      <c r="M36" s="69"/>
      <c r="N36" s="69"/>
      <c r="O36" s="69"/>
      <c r="P36" s="76"/>
    </row>
    <row r="37" spans="1:16" ht="16.5" hidden="1">
      <c r="A37" s="24"/>
      <c r="B37" s="74">
        <v>120201</v>
      </c>
      <c r="C37" s="71" t="s">
        <v>197</v>
      </c>
      <c r="D37" s="75" t="s">
        <v>100</v>
      </c>
      <c r="E37" s="69"/>
      <c r="F37" s="69"/>
      <c r="G37" s="69"/>
      <c r="H37" s="69"/>
      <c r="I37" s="69"/>
      <c r="J37" s="68"/>
      <c r="K37" s="69"/>
      <c r="L37" s="69"/>
      <c r="M37" s="69"/>
      <c r="N37" s="69"/>
      <c r="O37" s="69"/>
      <c r="P37" s="76"/>
    </row>
    <row r="38" spans="1:16" ht="16.5" hidden="1">
      <c r="A38" s="24"/>
      <c r="B38" s="38">
        <v>150000</v>
      </c>
      <c r="C38" s="44"/>
      <c r="D38" s="40" t="s">
        <v>101</v>
      </c>
      <c r="E38" s="47"/>
      <c r="F38" s="47"/>
      <c r="G38" s="47"/>
      <c r="H38" s="47"/>
      <c r="I38" s="47"/>
      <c r="J38" s="47"/>
      <c r="K38" s="47"/>
      <c r="L38" s="47"/>
      <c r="M38" s="47"/>
      <c r="N38" s="47"/>
      <c r="O38" s="47"/>
      <c r="P38" s="42"/>
    </row>
    <row r="39" spans="1:16" ht="16.5" hidden="1">
      <c r="A39" s="24"/>
      <c r="B39" s="43">
        <v>150101</v>
      </c>
      <c r="C39" s="44" t="s">
        <v>198</v>
      </c>
      <c r="D39" s="45" t="s">
        <v>102</v>
      </c>
      <c r="E39" s="47"/>
      <c r="F39" s="47"/>
      <c r="G39" s="47"/>
      <c r="H39" s="47"/>
      <c r="I39" s="47"/>
      <c r="J39" s="49"/>
      <c r="K39" s="47"/>
      <c r="L39" s="47"/>
      <c r="M39" s="47"/>
      <c r="N39" s="47"/>
      <c r="O39" s="47"/>
      <c r="P39" s="42"/>
    </row>
    <row r="40" spans="1:16" ht="25.5" hidden="1">
      <c r="A40" s="24"/>
      <c r="B40" s="43" t="s">
        <v>26</v>
      </c>
      <c r="C40" s="44" t="s">
        <v>199</v>
      </c>
      <c r="D40" s="45" t="s">
        <v>103</v>
      </c>
      <c r="E40" s="47"/>
      <c r="F40" s="47"/>
      <c r="G40" s="47"/>
      <c r="H40" s="47"/>
      <c r="I40" s="47"/>
      <c r="J40" s="49"/>
      <c r="K40" s="47"/>
      <c r="L40" s="47"/>
      <c r="M40" s="47"/>
      <c r="N40" s="47"/>
      <c r="O40" s="47"/>
      <c r="P40" s="42"/>
    </row>
    <row r="41" spans="1:16" s="17" customFormat="1" ht="0.75" customHeight="1" hidden="1">
      <c r="A41" s="23"/>
      <c r="B41" s="70" t="s">
        <v>27</v>
      </c>
      <c r="C41" s="71"/>
      <c r="D41" s="72" t="s">
        <v>104</v>
      </c>
      <c r="E41" s="73"/>
      <c r="F41" s="73"/>
      <c r="G41" s="73"/>
      <c r="H41" s="73"/>
      <c r="I41" s="73"/>
      <c r="J41" s="68"/>
      <c r="K41" s="73"/>
      <c r="L41" s="73"/>
      <c r="M41" s="73"/>
      <c r="N41" s="73"/>
      <c r="O41" s="73"/>
      <c r="P41" s="76"/>
    </row>
    <row r="42" spans="1:16" ht="16.5" hidden="1">
      <c r="A42" s="24"/>
      <c r="B42" s="74" t="s">
        <v>28</v>
      </c>
      <c r="C42" s="71" t="s">
        <v>200</v>
      </c>
      <c r="D42" s="112" t="s">
        <v>105</v>
      </c>
      <c r="E42" s="69"/>
      <c r="F42" s="69"/>
      <c r="G42" s="69"/>
      <c r="H42" s="69"/>
      <c r="I42" s="69"/>
      <c r="J42" s="68"/>
      <c r="K42" s="69"/>
      <c r="L42" s="69"/>
      <c r="M42" s="69"/>
      <c r="N42" s="69"/>
      <c r="O42" s="69"/>
      <c r="P42" s="76"/>
    </row>
    <row r="43" spans="1:16" s="17" customFormat="1" ht="38.25" hidden="1">
      <c r="A43" s="23"/>
      <c r="B43" s="70">
        <v>170000</v>
      </c>
      <c r="C43" s="71"/>
      <c r="D43" s="72" t="s">
        <v>106</v>
      </c>
      <c r="E43" s="73"/>
      <c r="F43" s="73"/>
      <c r="G43" s="73"/>
      <c r="H43" s="73"/>
      <c r="I43" s="73"/>
      <c r="J43" s="73"/>
      <c r="K43" s="73"/>
      <c r="L43" s="73"/>
      <c r="M43" s="73"/>
      <c r="N43" s="73"/>
      <c r="O43" s="73"/>
      <c r="P43" s="76"/>
    </row>
    <row r="44" spans="1:16" ht="38.25" hidden="1">
      <c r="A44" s="24"/>
      <c r="B44" s="74">
        <v>170703</v>
      </c>
      <c r="C44" s="71" t="s">
        <v>201</v>
      </c>
      <c r="D44" s="75" t="s">
        <v>107</v>
      </c>
      <c r="E44" s="69"/>
      <c r="F44" s="69"/>
      <c r="G44" s="69"/>
      <c r="H44" s="69"/>
      <c r="I44" s="69"/>
      <c r="J44" s="68"/>
      <c r="K44" s="69"/>
      <c r="L44" s="69"/>
      <c r="M44" s="69"/>
      <c r="N44" s="69"/>
      <c r="O44" s="69"/>
      <c r="P44" s="76"/>
    </row>
    <row r="45" spans="1:16" s="17" customFormat="1" ht="25.5" hidden="1">
      <c r="A45" s="23"/>
      <c r="B45" s="38">
        <v>180000</v>
      </c>
      <c r="C45" s="44"/>
      <c r="D45" s="40" t="s">
        <v>108</v>
      </c>
      <c r="E45" s="41"/>
      <c r="F45" s="41"/>
      <c r="G45" s="41"/>
      <c r="H45" s="41"/>
      <c r="I45" s="41"/>
      <c r="J45" s="41"/>
      <c r="K45" s="41"/>
      <c r="L45" s="41"/>
      <c r="M45" s="41"/>
      <c r="N45" s="41"/>
      <c r="O45" s="41"/>
      <c r="P45" s="42"/>
    </row>
    <row r="46" spans="1:16" ht="51" hidden="1">
      <c r="A46" s="24"/>
      <c r="B46" s="43">
        <v>180409</v>
      </c>
      <c r="C46" s="44" t="s">
        <v>198</v>
      </c>
      <c r="D46" s="45" t="s">
        <v>109</v>
      </c>
      <c r="E46" s="47"/>
      <c r="F46" s="47"/>
      <c r="G46" s="47"/>
      <c r="H46" s="47"/>
      <c r="I46" s="47"/>
      <c r="J46" s="49"/>
      <c r="K46" s="47"/>
      <c r="L46" s="47"/>
      <c r="M46" s="47"/>
      <c r="N46" s="47"/>
      <c r="O46" s="47"/>
      <c r="P46" s="42"/>
    </row>
    <row r="47" spans="1:16" ht="0.75" customHeight="1" hidden="1">
      <c r="A47" s="24"/>
      <c r="B47" s="48"/>
      <c r="C47" s="44"/>
      <c r="D47" s="50"/>
      <c r="E47" s="49"/>
      <c r="F47" s="49"/>
      <c r="G47" s="47"/>
      <c r="H47" s="47"/>
      <c r="I47" s="47"/>
      <c r="J47" s="49"/>
      <c r="K47" s="47"/>
      <c r="L47" s="47"/>
      <c r="M47" s="47"/>
      <c r="N47" s="49"/>
      <c r="O47" s="49"/>
      <c r="P47" s="42"/>
    </row>
    <row r="48" spans="1:16" ht="16.5" hidden="1">
      <c r="A48" s="24"/>
      <c r="B48" s="48"/>
      <c r="C48" s="44"/>
      <c r="D48" s="51"/>
      <c r="E48" s="46"/>
      <c r="F48" s="46"/>
      <c r="G48" s="47"/>
      <c r="H48" s="47"/>
      <c r="I48" s="47"/>
      <c r="J48" s="49"/>
      <c r="K48" s="47"/>
      <c r="L48" s="47"/>
      <c r="M48" s="47"/>
      <c r="N48" s="47"/>
      <c r="O48" s="47"/>
      <c r="P48" s="42"/>
    </row>
    <row r="49" spans="1:16" s="17" customFormat="1" ht="16.5" hidden="1">
      <c r="A49" s="23"/>
      <c r="B49" s="70">
        <v>240000</v>
      </c>
      <c r="C49" s="71"/>
      <c r="D49" s="72" t="s">
        <v>110</v>
      </c>
      <c r="E49" s="73"/>
      <c r="F49" s="73"/>
      <c r="G49" s="73"/>
      <c r="H49" s="73"/>
      <c r="I49" s="73"/>
      <c r="J49" s="73"/>
      <c r="K49" s="73"/>
      <c r="L49" s="73"/>
      <c r="M49" s="73"/>
      <c r="N49" s="73"/>
      <c r="O49" s="73"/>
      <c r="P49" s="76"/>
    </row>
    <row r="50" spans="1:16" ht="25.5" hidden="1">
      <c r="A50" s="24"/>
      <c r="B50" s="74">
        <v>240601</v>
      </c>
      <c r="C50" s="71" t="s">
        <v>202</v>
      </c>
      <c r="D50" s="75" t="s">
        <v>111</v>
      </c>
      <c r="E50" s="69"/>
      <c r="F50" s="69"/>
      <c r="G50" s="69"/>
      <c r="H50" s="69"/>
      <c r="I50" s="69"/>
      <c r="J50" s="68"/>
      <c r="K50" s="69"/>
      <c r="L50" s="69"/>
      <c r="M50" s="69"/>
      <c r="N50" s="69"/>
      <c r="O50" s="69"/>
      <c r="P50" s="76"/>
    </row>
    <row r="51" spans="1:16" s="17" customFormat="1" ht="25.5" hidden="1">
      <c r="A51" s="23"/>
      <c r="B51" s="70">
        <v>250000</v>
      </c>
      <c r="C51" s="71"/>
      <c r="D51" s="72" t="s">
        <v>112</v>
      </c>
      <c r="E51" s="73"/>
      <c r="F51" s="73"/>
      <c r="G51" s="73"/>
      <c r="H51" s="73"/>
      <c r="I51" s="73"/>
      <c r="J51" s="73"/>
      <c r="K51" s="73"/>
      <c r="L51" s="73"/>
      <c r="M51" s="73"/>
      <c r="N51" s="73"/>
      <c r="O51" s="73"/>
      <c r="P51" s="76"/>
    </row>
    <row r="52" spans="1:16" ht="17.25" hidden="1" thickBot="1">
      <c r="A52" s="24"/>
      <c r="B52" s="82"/>
      <c r="C52" s="83" t="s">
        <v>203</v>
      </c>
      <c r="D52" s="84" t="s">
        <v>113</v>
      </c>
      <c r="E52" s="85"/>
      <c r="F52" s="85"/>
      <c r="G52" s="85"/>
      <c r="H52" s="85"/>
      <c r="I52" s="85"/>
      <c r="J52" s="94"/>
      <c r="K52" s="85"/>
      <c r="L52" s="85"/>
      <c r="M52" s="85"/>
      <c r="N52" s="85"/>
      <c r="O52" s="85"/>
      <c r="P52" s="95"/>
    </row>
    <row r="53" spans="1:16" ht="64.5" hidden="1" thickBot="1">
      <c r="A53" s="26"/>
      <c r="B53" s="52" t="s">
        <v>29</v>
      </c>
      <c r="C53" s="53" t="s">
        <v>198</v>
      </c>
      <c r="D53" s="54" t="s">
        <v>114</v>
      </c>
      <c r="E53" s="55"/>
      <c r="F53" s="55"/>
      <c r="G53" s="55"/>
      <c r="H53" s="55"/>
      <c r="I53" s="55"/>
      <c r="J53" s="56"/>
      <c r="K53" s="55"/>
      <c r="L53" s="55"/>
      <c r="M53" s="55"/>
      <c r="N53" s="55"/>
      <c r="O53" s="55"/>
      <c r="P53" s="57">
        <f>E53+J53</f>
        <v>0</v>
      </c>
    </row>
    <row r="54" spans="1:16" s="17" customFormat="1" ht="25.5">
      <c r="A54" s="27"/>
      <c r="B54" s="70" t="s">
        <v>30</v>
      </c>
      <c r="C54" s="71"/>
      <c r="D54" s="72" t="s">
        <v>115</v>
      </c>
      <c r="E54" s="73"/>
      <c r="F54" s="73"/>
      <c r="G54" s="73"/>
      <c r="H54" s="73"/>
      <c r="I54" s="73"/>
      <c r="J54" s="73"/>
      <c r="K54" s="73"/>
      <c r="L54" s="73"/>
      <c r="M54" s="73"/>
      <c r="N54" s="73"/>
      <c r="O54" s="73"/>
      <c r="P54" s="76"/>
    </row>
    <row r="55" spans="1:16" s="17" customFormat="1" ht="16.5" hidden="1">
      <c r="A55" s="23"/>
      <c r="B55" s="70" t="s">
        <v>14</v>
      </c>
      <c r="C55" s="71"/>
      <c r="D55" s="72" t="s">
        <v>83</v>
      </c>
      <c r="E55" s="73"/>
      <c r="F55" s="73"/>
      <c r="G55" s="73"/>
      <c r="H55" s="73"/>
      <c r="I55" s="73"/>
      <c r="J55" s="73"/>
      <c r="K55" s="73"/>
      <c r="L55" s="73"/>
      <c r="M55" s="73"/>
      <c r="N55" s="73"/>
      <c r="O55" s="73"/>
      <c r="P55" s="76"/>
    </row>
    <row r="56" spans="1:16" ht="0.75" customHeight="1" hidden="1">
      <c r="A56" s="24"/>
      <c r="B56" s="74" t="s">
        <v>10</v>
      </c>
      <c r="C56" s="71" t="s">
        <v>188</v>
      </c>
      <c r="D56" s="75" t="s">
        <v>84</v>
      </c>
      <c r="E56" s="69"/>
      <c r="F56" s="69"/>
      <c r="G56" s="69"/>
      <c r="H56" s="69"/>
      <c r="I56" s="69"/>
      <c r="J56" s="68"/>
      <c r="K56" s="69"/>
      <c r="L56" s="69"/>
      <c r="M56" s="69"/>
      <c r="N56" s="69"/>
      <c r="O56" s="69"/>
      <c r="P56" s="76"/>
    </row>
    <row r="57" spans="1:16" s="17" customFormat="1" ht="16.5" hidden="1">
      <c r="A57" s="23"/>
      <c r="B57" s="70" t="s">
        <v>31</v>
      </c>
      <c r="C57" s="71"/>
      <c r="D57" s="72" t="s">
        <v>116</v>
      </c>
      <c r="E57" s="73"/>
      <c r="F57" s="73"/>
      <c r="G57" s="73"/>
      <c r="H57" s="73"/>
      <c r="I57" s="73"/>
      <c r="J57" s="73"/>
      <c r="K57" s="73"/>
      <c r="L57" s="73"/>
      <c r="M57" s="73"/>
      <c r="N57" s="73"/>
      <c r="O57" s="73"/>
      <c r="P57" s="76"/>
    </row>
    <row r="58" spans="1:16" ht="16.5" hidden="1">
      <c r="A58" s="24"/>
      <c r="B58" s="74" t="s">
        <v>32</v>
      </c>
      <c r="C58" s="71" t="s">
        <v>204</v>
      </c>
      <c r="D58" s="75" t="s">
        <v>117</v>
      </c>
      <c r="E58" s="69"/>
      <c r="F58" s="69"/>
      <c r="G58" s="69"/>
      <c r="H58" s="69"/>
      <c r="I58" s="69"/>
      <c r="J58" s="88"/>
      <c r="K58" s="69"/>
      <c r="L58" s="69"/>
      <c r="M58" s="69"/>
      <c r="N58" s="69"/>
      <c r="O58" s="69"/>
      <c r="P58" s="76"/>
    </row>
    <row r="59" spans="1:16" ht="51">
      <c r="A59" s="24"/>
      <c r="B59" s="74" t="s">
        <v>33</v>
      </c>
      <c r="C59" s="71" t="s">
        <v>205</v>
      </c>
      <c r="D59" s="75" t="s">
        <v>118</v>
      </c>
      <c r="E59" s="68">
        <f>E60+E76</f>
        <v>61791859</v>
      </c>
      <c r="F59" s="68">
        <f>F60+F76</f>
        <v>61791859</v>
      </c>
      <c r="G59" s="68">
        <f>G60+G76</f>
        <v>46656868</v>
      </c>
      <c r="H59" s="68">
        <f>H60+H76</f>
        <v>11526249</v>
      </c>
      <c r="I59" s="68"/>
      <c r="J59" s="68">
        <f>K59+N59</f>
        <v>1418205</v>
      </c>
      <c r="K59" s="68">
        <v>1418205</v>
      </c>
      <c r="L59" s="68">
        <v>540498</v>
      </c>
      <c r="M59" s="68">
        <v>6241</v>
      </c>
      <c r="N59" s="68"/>
      <c r="O59" s="68"/>
      <c r="P59" s="109">
        <f>E59+J59</f>
        <v>63210064</v>
      </c>
    </row>
    <row r="60" spans="1:16" ht="25.5">
      <c r="A60" s="24"/>
      <c r="B60" s="74"/>
      <c r="C60" s="71"/>
      <c r="D60" s="75" t="s">
        <v>227</v>
      </c>
      <c r="E60" s="69">
        <f>E61+E62+E63+E64+E65+E66+E67+E68+E69+E70+E71+E72+E73+E74</f>
        <v>51633100</v>
      </c>
      <c r="F60" s="69">
        <f>F61+F62+F63+F64+F65+F66+F67+F68+F69+F70+F71+F72+F73+F74</f>
        <v>51633100</v>
      </c>
      <c r="G60" s="69">
        <f>G61+G62+G63+G64+G65+G66+G67+G68+G69+G70+G71+G72+G73+G74</f>
        <v>42480930</v>
      </c>
      <c r="H60" s="69">
        <f>H61+H62+H63+H64+H65+H66+H67+H68+H69+H70+H71+H72+H73+H74</f>
        <v>8541920</v>
      </c>
      <c r="I60" s="69"/>
      <c r="J60" s="68"/>
      <c r="K60" s="69"/>
      <c r="L60" s="69"/>
      <c r="M60" s="69"/>
      <c r="N60" s="69"/>
      <c r="O60" s="69"/>
      <c r="P60" s="76">
        <f>E60+J60</f>
        <v>51633100</v>
      </c>
    </row>
    <row r="61" spans="1:16" ht="16.5">
      <c r="A61" s="24"/>
      <c r="B61" s="133" t="s">
        <v>246</v>
      </c>
      <c r="C61" s="71"/>
      <c r="D61" s="75"/>
      <c r="E61" s="69">
        <f>F61</f>
        <v>4764662</v>
      </c>
      <c r="F61" s="69">
        <f>4768560-3898</f>
        <v>4764662</v>
      </c>
      <c r="G61" s="69">
        <v>3936157</v>
      </c>
      <c r="H61" s="69">
        <v>786039</v>
      </c>
      <c r="I61" s="69"/>
      <c r="J61" s="68"/>
      <c r="K61" s="69"/>
      <c r="L61" s="69"/>
      <c r="M61" s="69"/>
      <c r="N61" s="69"/>
      <c r="O61" s="69"/>
      <c r="P61" s="76">
        <f>E61+J61</f>
        <v>4764662</v>
      </c>
    </row>
    <row r="62" spans="1:16" ht="16.5">
      <c r="A62" s="24"/>
      <c r="B62" s="133" t="s">
        <v>247</v>
      </c>
      <c r="C62" s="71"/>
      <c r="D62" s="75"/>
      <c r="E62" s="69">
        <f>F62</f>
        <v>4233645</v>
      </c>
      <c r="F62" s="69">
        <f>4236886-3241</f>
        <v>4233645</v>
      </c>
      <c r="G62" s="69">
        <v>3757297</v>
      </c>
      <c r="H62" s="69">
        <v>434390</v>
      </c>
      <c r="I62" s="69"/>
      <c r="J62" s="68"/>
      <c r="K62" s="69"/>
      <c r="L62" s="69"/>
      <c r="M62" s="69"/>
      <c r="N62" s="69"/>
      <c r="O62" s="69"/>
      <c r="P62" s="76">
        <f aca="true" t="shared" si="0" ref="P62:P90">E62+J62</f>
        <v>4233645</v>
      </c>
    </row>
    <row r="63" spans="1:16" ht="16.5">
      <c r="A63" s="24"/>
      <c r="B63" s="133" t="s">
        <v>248</v>
      </c>
      <c r="C63" s="71"/>
      <c r="D63" s="75"/>
      <c r="E63" s="69">
        <f>F63</f>
        <v>3821506</v>
      </c>
      <c r="F63" s="69">
        <f>3824633-3127</f>
        <v>3821506</v>
      </c>
      <c r="G63" s="69">
        <v>3118601</v>
      </c>
      <c r="H63" s="69">
        <v>666814</v>
      </c>
      <c r="I63" s="69"/>
      <c r="J63" s="68"/>
      <c r="K63" s="69"/>
      <c r="L63" s="69"/>
      <c r="M63" s="69"/>
      <c r="N63" s="69"/>
      <c r="O63" s="69"/>
      <c r="P63" s="76">
        <f t="shared" si="0"/>
        <v>3821506</v>
      </c>
    </row>
    <row r="64" spans="1:16" ht="16.5">
      <c r="A64" s="24"/>
      <c r="B64" s="133" t="s">
        <v>249</v>
      </c>
      <c r="C64" s="71"/>
      <c r="D64" s="75"/>
      <c r="E64" s="69">
        <f aca="true" t="shared" si="1" ref="E64:E74">F64</f>
        <v>2632835</v>
      </c>
      <c r="F64" s="69">
        <f>2633851-1016</f>
        <v>2632835</v>
      </c>
      <c r="G64" s="69">
        <v>2034826</v>
      </c>
      <c r="H64" s="69">
        <v>569373</v>
      </c>
      <c r="I64" s="69"/>
      <c r="J64" s="68"/>
      <c r="K64" s="69"/>
      <c r="L64" s="69"/>
      <c r="M64" s="69"/>
      <c r="N64" s="69"/>
      <c r="O64" s="69"/>
      <c r="P64" s="76">
        <f t="shared" si="0"/>
        <v>2632835</v>
      </c>
    </row>
    <row r="65" spans="1:16" ht="16.5">
      <c r="A65" s="24"/>
      <c r="B65" s="133" t="s">
        <v>250</v>
      </c>
      <c r="C65" s="71"/>
      <c r="D65" s="75"/>
      <c r="E65" s="69">
        <f t="shared" si="1"/>
        <v>3851641</v>
      </c>
      <c r="F65" s="69">
        <f>3846519+5122</f>
        <v>3851641</v>
      </c>
      <c r="G65" s="69">
        <v>3089492</v>
      </c>
      <c r="H65" s="69">
        <v>675097</v>
      </c>
      <c r="I65" s="69"/>
      <c r="J65" s="68"/>
      <c r="K65" s="69"/>
      <c r="L65" s="69"/>
      <c r="M65" s="69"/>
      <c r="N65" s="69"/>
      <c r="O65" s="69"/>
      <c r="P65" s="76">
        <f t="shared" si="0"/>
        <v>3851641</v>
      </c>
    </row>
    <row r="66" spans="1:16" ht="16.5">
      <c r="A66" s="24"/>
      <c r="B66" s="133" t="s">
        <v>251</v>
      </c>
      <c r="C66" s="71"/>
      <c r="D66" s="75"/>
      <c r="E66" s="69">
        <f t="shared" si="1"/>
        <v>4136671</v>
      </c>
      <c r="F66" s="69">
        <f>4131054+5617</f>
        <v>4136671</v>
      </c>
      <c r="G66" s="69">
        <v>3075097</v>
      </c>
      <c r="H66" s="69">
        <v>1010907</v>
      </c>
      <c r="I66" s="69"/>
      <c r="J66" s="68"/>
      <c r="K66" s="69"/>
      <c r="L66" s="69"/>
      <c r="M66" s="69"/>
      <c r="N66" s="69"/>
      <c r="O66" s="69"/>
      <c r="P66" s="76">
        <f t="shared" si="0"/>
        <v>4136671</v>
      </c>
    </row>
    <row r="67" spans="1:16" ht="16.5">
      <c r="A67" s="24"/>
      <c r="B67" s="133" t="s">
        <v>252</v>
      </c>
      <c r="C67" s="71"/>
      <c r="D67" s="75"/>
      <c r="E67" s="69">
        <f t="shared" si="1"/>
        <v>3146659</v>
      </c>
      <c r="F67" s="69">
        <f>3143905+2754</f>
        <v>3146659</v>
      </c>
      <c r="G67" s="69">
        <v>2679493</v>
      </c>
      <c r="H67" s="69">
        <v>401740</v>
      </c>
      <c r="I67" s="69"/>
      <c r="J67" s="68"/>
      <c r="K67" s="69"/>
      <c r="L67" s="69"/>
      <c r="M67" s="69"/>
      <c r="N67" s="69"/>
      <c r="O67" s="69"/>
      <c r="P67" s="76">
        <f t="shared" si="0"/>
        <v>3146659</v>
      </c>
    </row>
    <row r="68" spans="1:16" ht="16.5">
      <c r="A68" s="24"/>
      <c r="B68" s="133" t="s">
        <v>253</v>
      </c>
      <c r="C68" s="71"/>
      <c r="D68" s="75"/>
      <c r="E68" s="69">
        <f t="shared" si="1"/>
        <v>5982893</v>
      </c>
      <c r="F68" s="69">
        <f>5987027-4134</f>
        <v>5982893</v>
      </c>
      <c r="G68" s="69">
        <v>4996595</v>
      </c>
      <c r="H68" s="69">
        <v>936982</v>
      </c>
      <c r="I68" s="69"/>
      <c r="J68" s="68"/>
      <c r="K68" s="69"/>
      <c r="L68" s="69"/>
      <c r="M68" s="69"/>
      <c r="N68" s="69"/>
      <c r="O68" s="69"/>
      <c r="P68" s="76">
        <f t="shared" si="0"/>
        <v>5982893</v>
      </c>
    </row>
    <row r="69" spans="1:16" ht="16.5">
      <c r="A69" s="24"/>
      <c r="B69" s="133" t="s">
        <v>245</v>
      </c>
      <c r="C69" s="71"/>
      <c r="D69" s="75"/>
      <c r="E69" s="69">
        <f t="shared" si="1"/>
        <v>5188770</v>
      </c>
      <c r="F69" s="69">
        <f>5181611+7159</f>
        <v>5188770</v>
      </c>
      <c r="G69" s="69">
        <v>4272683</v>
      </c>
      <c r="H69" s="69">
        <v>871784</v>
      </c>
      <c r="I69" s="69"/>
      <c r="J69" s="68"/>
      <c r="K69" s="69"/>
      <c r="L69" s="69"/>
      <c r="M69" s="69"/>
      <c r="N69" s="69"/>
      <c r="O69" s="69"/>
      <c r="P69" s="76">
        <f t="shared" si="0"/>
        <v>5188770</v>
      </c>
    </row>
    <row r="70" spans="1:16" ht="16.5">
      <c r="A70" s="24"/>
      <c r="B70" s="133" t="s">
        <v>254</v>
      </c>
      <c r="C70" s="71"/>
      <c r="D70" s="75"/>
      <c r="E70" s="69">
        <f t="shared" si="1"/>
        <v>5220860</v>
      </c>
      <c r="F70" s="69">
        <f>5228294-7434</f>
        <v>5220860</v>
      </c>
      <c r="G70" s="69">
        <v>4302834</v>
      </c>
      <c r="H70" s="69">
        <v>878142</v>
      </c>
      <c r="I70" s="69"/>
      <c r="J70" s="68"/>
      <c r="K70" s="69"/>
      <c r="L70" s="69"/>
      <c r="M70" s="69"/>
      <c r="N70" s="69"/>
      <c r="O70" s="69"/>
      <c r="P70" s="76">
        <f t="shared" si="0"/>
        <v>5220860</v>
      </c>
    </row>
    <row r="71" spans="1:16" ht="16.5">
      <c r="A71" s="24"/>
      <c r="B71" s="133" t="s">
        <v>255</v>
      </c>
      <c r="C71" s="71"/>
      <c r="D71" s="75"/>
      <c r="E71" s="69">
        <f t="shared" si="1"/>
        <v>1960457</v>
      </c>
      <c r="F71" s="69">
        <f>1958993+1464</f>
        <v>1960457</v>
      </c>
      <c r="G71" s="69">
        <v>1745905</v>
      </c>
      <c r="H71" s="69">
        <v>195323</v>
      </c>
      <c r="I71" s="69"/>
      <c r="J71" s="68"/>
      <c r="K71" s="69"/>
      <c r="L71" s="69"/>
      <c r="M71" s="69"/>
      <c r="N71" s="69"/>
      <c r="O71" s="69"/>
      <c r="P71" s="76">
        <f t="shared" si="0"/>
        <v>1960457</v>
      </c>
    </row>
    <row r="72" spans="1:16" ht="16.5">
      <c r="A72" s="24"/>
      <c r="B72" s="133" t="s">
        <v>256</v>
      </c>
      <c r="C72" s="71"/>
      <c r="D72" s="75"/>
      <c r="E72" s="69">
        <f t="shared" si="1"/>
        <v>2992453</v>
      </c>
      <c r="F72" s="69">
        <f>2995554-3101</f>
        <v>2992453</v>
      </c>
      <c r="G72" s="69">
        <v>2523331</v>
      </c>
      <c r="H72" s="69">
        <v>438321</v>
      </c>
      <c r="I72" s="69"/>
      <c r="J72" s="68"/>
      <c r="K72" s="69"/>
      <c r="L72" s="69"/>
      <c r="M72" s="69"/>
      <c r="N72" s="69"/>
      <c r="O72" s="69"/>
      <c r="P72" s="76">
        <f t="shared" si="0"/>
        <v>2992453</v>
      </c>
    </row>
    <row r="73" spans="1:16" ht="16.5">
      <c r="A73" s="24"/>
      <c r="B73" s="133" t="s">
        <v>257</v>
      </c>
      <c r="C73" s="71"/>
      <c r="D73" s="75"/>
      <c r="E73" s="69">
        <f t="shared" si="1"/>
        <v>1964921</v>
      </c>
      <c r="F73" s="69">
        <f>1962584+2337</f>
        <v>1964921</v>
      </c>
      <c r="G73" s="69">
        <v>1612546</v>
      </c>
      <c r="H73" s="69">
        <v>302922</v>
      </c>
      <c r="I73" s="69"/>
      <c r="J73" s="68"/>
      <c r="K73" s="69"/>
      <c r="L73" s="69"/>
      <c r="M73" s="69"/>
      <c r="N73" s="69"/>
      <c r="O73" s="69"/>
      <c r="P73" s="76">
        <f t="shared" si="0"/>
        <v>1964921</v>
      </c>
    </row>
    <row r="74" spans="1:16" ht="16.5">
      <c r="A74" s="24"/>
      <c r="B74" s="133" t="s">
        <v>258</v>
      </c>
      <c r="C74" s="71"/>
      <c r="D74" s="75"/>
      <c r="E74" s="69">
        <f t="shared" si="1"/>
        <v>1735127</v>
      </c>
      <c r="F74" s="69">
        <f>1733629+1498</f>
        <v>1735127</v>
      </c>
      <c r="G74" s="69">
        <v>1336073</v>
      </c>
      <c r="H74" s="69">
        <v>374086</v>
      </c>
      <c r="I74" s="69"/>
      <c r="J74" s="68"/>
      <c r="K74" s="69"/>
      <c r="L74" s="69"/>
      <c r="M74" s="69"/>
      <c r="N74" s="69"/>
      <c r="O74" s="69"/>
      <c r="P74" s="76">
        <f t="shared" si="0"/>
        <v>1735127</v>
      </c>
    </row>
    <row r="75" spans="1:16" ht="16.5">
      <c r="A75" s="24"/>
      <c r="B75" s="133"/>
      <c r="C75" s="71"/>
      <c r="D75" s="75"/>
      <c r="E75" s="69"/>
      <c r="F75" s="69"/>
      <c r="G75" s="69"/>
      <c r="H75" s="69"/>
      <c r="I75" s="69"/>
      <c r="J75" s="69"/>
      <c r="K75" s="69"/>
      <c r="L75" s="69"/>
      <c r="M75" s="69"/>
      <c r="N75" s="69"/>
      <c r="O75" s="69"/>
      <c r="P75" s="76">
        <f t="shared" si="0"/>
        <v>0</v>
      </c>
    </row>
    <row r="76" spans="1:16" ht="23.25" customHeight="1">
      <c r="A76" s="24"/>
      <c r="B76" s="74"/>
      <c r="C76" s="71"/>
      <c r="D76" s="75" t="s">
        <v>228</v>
      </c>
      <c r="E76" s="68">
        <f>E77+E78+E79+E80+E81+E82+E83+E84+E85+E86+E87+E88+E89+E90</f>
        <v>10158759</v>
      </c>
      <c r="F76" s="68">
        <f aca="true" t="shared" si="2" ref="F76:P76">F77+F78+F79+F80+F81+F82+F83+F84+F85+F86+F87+F88+F89+F90</f>
        <v>10158759</v>
      </c>
      <c r="G76" s="68">
        <f t="shared" si="2"/>
        <v>4175938</v>
      </c>
      <c r="H76" s="68">
        <f t="shared" si="2"/>
        <v>2984329</v>
      </c>
      <c r="I76" s="68"/>
      <c r="J76" s="68">
        <f t="shared" si="2"/>
        <v>3073002</v>
      </c>
      <c r="K76" s="68">
        <f t="shared" si="2"/>
        <v>1418205</v>
      </c>
      <c r="L76" s="68">
        <f t="shared" si="2"/>
        <v>540498</v>
      </c>
      <c r="M76" s="68">
        <f t="shared" si="2"/>
        <v>6241</v>
      </c>
      <c r="N76" s="68">
        <f t="shared" si="2"/>
        <v>1654797</v>
      </c>
      <c r="O76" s="68">
        <f t="shared" si="2"/>
        <v>1654797</v>
      </c>
      <c r="P76" s="68">
        <f t="shared" si="2"/>
        <v>13231761</v>
      </c>
    </row>
    <row r="77" spans="1:16" ht="14.25" customHeight="1">
      <c r="A77" s="24"/>
      <c r="B77" s="133" t="s">
        <v>246</v>
      </c>
      <c r="C77" s="71"/>
      <c r="D77" s="75"/>
      <c r="E77" s="69">
        <f aca="true" t="shared" si="3" ref="E77:E83">F77</f>
        <v>887387</v>
      </c>
      <c r="F77" s="69">
        <f>840187+45628+1572</f>
        <v>887387</v>
      </c>
      <c r="G77" s="69">
        <v>245502</v>
      </c>
      <c r="H77" s="69">
        <v>389206</v>
      </c>
      <c r="I77" s="69"/>
      <c r="J77" s="68">
        <f>K77+N77</f>
        <v>301932</v>
      </c>
      <c r="K77" s="69">
        <v>301932</v>
      </c>
      <c r="L77" s="69">
        <f>57765+159133</f>
        <v>216898</v>
      </c>
      <c r="M77" s="69"/>
      <c r="N77" s="68">
        <f>O77</f>
        <v>0</v>
      </c>
      <c r="O77" s="69"/>
      <c r="P77" s="76">
        <f>E77+J77</f>
        <v>1189319</v>
      </c>
    </row>
    <row r="78" spans="1:16" ht="14.25" customHeight="1">
      <c r="A78" s="24"/>
      <c r="B78" s="133" t="s">
        <v>247</v>
      </c>
      <c r="C78" s="71"/>
      <c r="D78" s="75"/>
      <c r="E78" s="69">
        <f t="shared" si="3"/>
        <v>2751025</v>
      </c>
      <c r="F78" s="69">
        <f>2749453+1572</f>
        <v>2751025</v>
      </c>
      <c r="G78" s="69">
        <v>1682773</v>
      </c>
      <c r="H78" s="69">
        <f>215117+562148</f>
        <v>777265</v>
      </c>
      <c r="I78" s="69"/>
      <c r="J78" s="68">
        <f aca="true" t="shared" si="4" ref="J78:J90">K78+N78</f>
        <v>385044</v>
      </c>
      <c r="K78" s="69">
        <f>42950+172094</f>
        <v>215044</v>
      </c>
      <c r="L78" s="69"/>
      <c r="M78" s="69"/>
      <c r="N78" s="68">
        <f aca="true" t="shared" si="5" ref="N78:N90">O78</f>
        <v>170000</v>
      </c>
      <c r="O78" s="69">
        <f>170000</f>
        <v>170000</v>
      </c>
      <c r="P78" s="76">
        <f t="shared" si="0"/>
        <v>3136069</v>
      </c>
    </row>
    <row r="79" spans="1:16" ht="14.25" customHeight="1">
      <c r="A79" s="24"/>
      <c r="B79" s="133" t="s">
        <v>248</v>
      </c>
      <c r="C79" s="71"/>
      <c r="D79" s="75"/>
      <c r="E79" s="69">
        <f t="shared" si="3"/>
        <v>713457</v>
      </c>
      <c r="F79" s="69">
        <f>711885+1572</f>
        <v>713457</v>
      </c>
      <c r="G79" s="69">
        <v>192692</v>
      </c>
      <c r="H79" s="69">
        <v>329434</v>
      </c>
      <c r="I79" s="69"/>
      <c r="J79" s="68">
        <f t="shared" si="4"/>
        <v>178381</v>
      </c>
      <c r="K79" s="69">
        <v>40934</v>
      </c>
      <c r="L79" s="69"/>
      <c r="M79" s="69"/>
      <c r="N79" s="68">
        <f t="shared" si="5"/>
        <v>137447</v>
      </c>
      <c r="O79" s="69">
        <f>122897+14550</f>
        <v>137447</v>
      </c>
      <c r="P79" s="76">
        <f t="shared" si="0"/>
        <v>891838</v>
      </c>
    </row>
    <row r="80" spans="1:16" ht="14.25" customHeight="1">
      <c r="A80" s="24"/>
      <c r="B80" s="133" t="s">
        <v>249</v>
      </c>
      <c r="C80" s="71"/>
      <c r="D80" s="75"/>
      <c r="E80" s="69">
        <f t="shared" si="3"/>
        <v>548259</v>
      </c>
      <c r="F80" s="69">
        <f>546687+1572</f>
        <v>548259</v>
      </c>
      <c r="G80" s="69">
        <v>128363</v>
      </c>
      <c r="H80" s="69">
        <v>268937</v>
      </c>
      <c r="I80" s="69"/>
      <c r="J80" s="68">
        <f t="shared" si="4"/>
        <v>48752</v>
      </c>
      <c r="K80" s="69">
        <v>37910</v>
      </c>
      <c r="L80" s="69"/>
      <c r="M80" s="69"/>
      <c r="N80" s="68">
        <f t="shared" si="5"/>
        <v>10842</v>
      </c>
      <c r="O80" s="69">
        <f>10842</f>
        <v>10842</v>
      </c>
      <c r="P80" s="76">
        <f t="shared" si="0"/>
        <v>597011</v>
      </c>
    </row>
    <row r="81" spans="1:16" ht="14.25" customHeight="1">
      <c r="A81" s="24"/>
      <c r="B81" s="133" t="s">
        <v>250</v>
      </c>
      <c r="C81" s="71"/>
      <c r="D81" s="75"/>
      <c r="E81" s="69">
        <f t="shared" si="3"/>
        <v>371182</v>
      </c>
      <c r="F81" s="69">
        <f>369610+1572</f>
        <v>371182</v>
      </c>
      <c r="G81" s="69">
        <v>193607</v>
      </c>
      <c r="H81" s="69"/>
      <c r="I81" s="69"/>
      <c r="J81" s="68">
        <f t="shared" si="4"/>
        <v>105197</v>
      </c>
      <c r="K81" s="69">
        <v>94355</v>
      </c>
      <c r="L81" s="69">
        <f>23478+8523</f>
        <v>32001</v>
      </c>
      <c r="M81" s="69"/>
      <c r="N81" s="68">
        <f t="shared" si="5"/>
        <v>10842</v>
      </c>
      <c r="O81" s="69">
        <f>10842</f>
        <v>10842</v>
      </c>
      <c r="P81" s="76">
        <f t="shared" si="0"/>
        <v>476379</v>
      </c>
    </row>
    <row r="82" spans="1:16" ht="14.25" customHeight="1">
      <c r="A82" s="24"/>
      <c r="B82" s="133" t="s">
        <v>251</v>
      </c>
      <c r="C82" s="71"/>
      <c r="D82" s="75"/>
      <c r="E82" s="69">
        <f t="shared" si="3"/>
        <v>747146</v>
      </c>
      <c r="F82" s="69">
        <f>745574+1572</f>
        <v>747146</v>
      </c>
      <c r="G82" s="69">
        <v>265753</v>
      </c>
      <c r="H82" s="69"/>
      <c r="I82" s="69"/>
      <c r="J82" s="68">
        <f t="shared" si="4"/>
        <v>418490</v>
      </c>
      <c r="K82" s="69">
        <v>116534</v>
      </c>
      <c r="L82" s="69"/>
      <c r="M82" s="69"/>
      <c r="N82" s="68">
        <f t="shared" si="5"/>
        <v>301956</v>
      </c>
      <c r="O82" s="69">
        <f>287406+14550</f>
        <v>301956</v>
      </c>
      <c r="P82" s="76">
        <f t="shared" si="0"/>
        <v>1165636</v>
      </c>
    </row>
    <row r="83" spans="1:16" ht="15" customHeight="1">
      <c r="A83" s="24"/>
      <c r="B83" s="133" t="s">
        <v>252</v>
      </c>
      <c r="C83" s="71"/>
      <c r="D83" s="75"/>
      <c r="E83" s="69">
        <f t="shared" si="3"/>
        <v>317073</v>
      </c>
      <c r="F83" s="69">
        <f>315501+1572</f>
        <v>317073</v>
      </c>
      <c r="G83" s="69">
        <v>171883</v>
      </c>
      <c r="H83" s="69"/>
      <c r="I83" s="69"/>
      <c r="J83" s="68">
        <f t="shared" si="4"/>
        <v>450826</v>
      </c>
      <c r="K83" s="69">
        <v>74450</v>
      </c>
      <c r="L83" s="69"/>
      <c r="M83" s="69"/>
      <c r="N83" s="68">
        <f t="shared" si="5"/>
        <v>376376</v>
      </c>
      <c r="O83" s="69">
        <f>365534+10842</f>
        <v>376376</v>
      </c>
      <c r="P83" s="76">
        <f t="shared" si="0"/>
        <v>767899</v>
      </c>
    </row>
    <row r="84" spans="1:16" ht="15" customHeight="1">
      <c r="A84" s="24"/>
      <c r="B84" s="133" t="s">
        <v>253</v>
      </c>
      <c r="C84" s="71"/>
      <c r="D84" s="75"/>
      <c r="E84" s="69">
        <f aca="true" t="shared" si="6" ref="E84:E90">F84</f>
        <v>1002201</v>
      </c>
      <c r="F84" s="69">
        <f>1000629+1572</f>
        <v>1002201</v>
      </c>
      <c r="G84" s="69">
        <v>308855</v>
      </c>
      <c r="H84" s="69">
        <v>458954</v>
      </c>
      <c r="I84" s="69"/>
      <c r="J84" s="68">
        <f t="shared" si="4"/>
        <v>93284</v>
      </c>
      <c r="K84" s="69">
        <v>78734</v>
      </c>
      <c r="L84" s="69"/>
      <c r="M84" s="69"/>
      <c r="N84" s="68">
        <f t="shared" si="5"/>
        <v>14550</v>
      </c>
      <c r="O84" s="69">
        <f>14550</f>
        <v>14550</v>
      </c>
      <c r="P84" s="76">
        <f t="shared" si="0"/>
        <v>1095485</v>
      </c>
    </row>
    <row r="85" spans="1:16" ht="15" customHeight="1">
      <c r="A85" s="24"/>
      <c r="B85" s="133" t="s">
        <v>245</v>
      </c>
      <c r="C85" s="71"/>
      <c r="D85" s="75"/>
      <c r="E85" s="69">
        <f t="shared" si="6"/>
        <v>436387</v>
      </c>
      <c r="F85" s="69">
        <f>434815+1572</f>
        <v>436387</v>
      </c>
      <c r="G85" s="69">
        <v>264109</v>
      </c>
      <c r="H85" s="69"/>
      <c r="I85" s="69"/>
      <c r="J85" s="68">
        <f t="shared" si="4"/>
        <v>409924</v>
      </c>
      <c r="K85" s="69">
        <v>45374</v>
      </c>
      <c r="L85" s="69"/>
      <c r="M85" s="69"/>
      <c r="N85" s="68">
        <f t="shared" si="5"/>
        <v>364550</v>
      </c>
      <c r="O85" s="69">
        <f>350000+14550</f>
        <v>364550</v>
      </c>
      <c r="P85" s="76">
        <f t="shared" si="0"/>
        <v>846311</v>
      </c>
    </row>
    <row r="86" spans="1:16" ht="15" customHeight="1">
      <c r="A86" s="24"/>
      <c r="B86" s="133" t="s">
        <v>254</v>
      </c>
      <c r="C86" s="71"/>
      <c r="D86" s="75"/>
      <c r="E86" s="69">
        <f t="shared" si="6"/>
        <v>973470</v>
      </c>
      <c r="F86" s="69">
        <f>971898+1572</f>
        <v>973470</v>
      </c>
      <c r="G86" s="69">
        <v>267684</v>
      </c>
      <c r="H86" s="69">
        <v>459759</v>
      </c>
      <c r="I86" s="69"/>
      <c r="J86" s="68">
        <f t="shared" si="4"/>
        <v>291948</v>
      </c>
      <c r="K86" s="69">
        <v>45398</v>
      </c>
      <c r="L86" s="69"/>
      <c r="M86" s="69"/>
      <c r="N86" s="68">
        <f t="shared" si="5"/>
        <v>246550</v>
      </c>
      <c r="O86" s="69">
        <f>175000+14550+57000</f>
        <v>246550</v>
      </c>
      <c r="P86" s="76">
        <f t="shared" si="0"/>
        <v>1265418</v>
      </c>
    </row>
    <row r="87" spans="1:16" ht="15" customHeight="1">
      <c r="A87" s="24"/>
      <c r="B87" s="133" t="s">
        <v>255</v>
      </c>
      <c r="C87" s="71"/>
      <c r="D87" s="75"/>
      <c r="E87" s="69">
        <f t="shared" si="6"/>
        <v>199377</v>
      </c>
      <c r="F87" s="69">
        <f>197805+1572</f>
        <v>199377</v>
      </c>
      <c r="G87" s="69">
        <v>107715</v>
      </c>
      <c r="H87" s="69">
        <v>74012</v>
      </c>
      <c r="I87" s="69"/>
      <c r="J87" s="68">
        <f t="shared" si="4"/>
        <v>297950</v>
      </c>
      <c r="K87" s="69">
        <v>297950</v>
      </c>
      <c r="L87" s="69">
        <f>77660+213939</f>
        <v>291599</v>
      </c>
      <c r="M87" s="69">
        <v>6241</v>
      </c>
      <c r="N87" s="68">
        <f t="shared" si="5"/>
        <v>0</v>
      </c>
      <c r="O87" s="69"/>
      <c r="P87" s="76">
        <f t="shared" si="0"/>
        <v>497327</v>
      </c>
    </row>
    <row r="88" spans="1:16" ht="15" customHeight="1">
      <c r="A88" s="24"/>
      <c r="B88" s="133" t="s">
        <v>256</v>
      </c>
      <c r="C88" s="71"/>
      <c r="D88" s="75"/>
      <c r="E88" s="69">
        <f t="shared" si="6"/>
        <v>694542</v>
      </c>
      <c r="F88" s="69">
        <f>666978+27564</f>
        <v>694542</v>
      </c>
      <c r="G88" s="69">
        <v>159377</v>
      </c>
      <c r="H88" s="69">
        <v>226762</v>
      </c>
      <c r="I88" s="69"/>
      <c r="J88" s="68">
        <f t="shared" si="4"/>
        <v>56942</v>
      </c>
      <c r="K88" s="69">
        <v>46100</v>
      </c>
      <c r="L88" s="69"/>
      <c r="M88" s="69"/>
      <c r="N88" s="68">
        <f t="shared" si="5"/>
        <v>10842</v>
      </c>
      <c r="O88" s="69">
        <f>10842</f>
        <v>10842</v>
      </c>
      <c r="P88" s="76">
        <f t="shared" si="0"/>
        <v>751484</v>
      </c>
    </row>
    <row r="89" spans="1:16" ht="15" customHeight="1">
      <c r="A89" s="24"/>
      <c r="B89" s="133" t="s">
        <v>257</v>
      </c>
      <c r="C89" s="71"/>
      <c r="D89" s="75"/>
      <c r="E89" s="69">
        <f t="shared" si="6"/>
        <v>393769</v>
      </c>
      <c r="F89" s="69">
        <f>392197+1572</f>
        <v>393769</v>
      </c>
      <c r="G89" s="69">
        <v>101100</v>
      </c>
      <c r="H89" s="69"/>
      <c r="I89" s="69"/>
      <c r="J89" s="68">
        <f t="shared" si="4"/>
        <v>34332</v>
      </c>
      <c r="K89" s="69">
        <v>23490</v>
      </c>
      <c r="L89" s="69"/>
      <c r="M89" s="69"/>
      <c r="N89" s="68">
        <f t="shared" si="5"/>
        <v>10842</v>
      </c>
      <c r="O89" s="69">
        <f>10842</f>
        <v>10842</v>
      </c>
      <c r="P89" s="76">
        <f t="shared" si="0"/>
        <v>428101</v>
      </c>
    </row>
    <row r="90" spans="1:16" ht="15" customHeight="1">
      <c r="A90" s="24"/>
      <c r="B90" s="133" t="s">
        <v>258</v>
      </c>
      <c r="C90" s="71"/>
      <c r="D90" s="75"/>
      <c r="E90" s="69">
        <f t="shared" si="6"/>
        <v>123484</v>
      </c>
      <c r="F90" s="69">
        <f>121912+1572</f>
        <v>123484</v>
      </c>
      <c r="G90" s="69">
        <v>86525</v>
      </c>
      <c r="H90" s="69"/>
      <c r="I90" s="69"/>
      <c r="J90" s="68">
        <f t="shared" si="4"/>
        <v>0</v>
      </c>
      <c r="K90" s="69"/>
      <c r="L90" s="69"/>
      <c r="M90" s="69"/>
      <c r="N90" s="68">
        <f t="shared" si="5"/>
        <v>0</v>
      </c>
      <c r="O90" s="69"/>
      <c r="P90" s="76">
        <f t="shared" si="0"/>
        <v>123484</v>
      </c>
    </row>
    <row r="91" spans="1:16" ht="15" customHeight="1">
      <c r="A91" s="24"/>
      <c r="B91" s="74"/>
      <c r="C91" s="71"/>
      <c r="D91" s="75"/>
      <c r="E91" s="69"/>
      <c r="F91" s="69"/>
      <c r="G91" s="69"/>
      <c r="H91" s="69"/>
      <c r="I91" s="69"/>
      <c r="J91" s="69"/>
      <c r="K91" s="69"/>
      <c r="L91" s="69"/>
      <c r="M91" s="69"/>
      <c r="N91" s="69"/>
      <c r="O91" s="69"/>
      <c r="P91" s="69"/>
    </row>
    <row r="92" spans="1:16" s="17" customFormat="1" ht="17.25" thickBot="1">
      <c r="A92" s="19"/>
      <c r="B92" s="122"/>
      <c r="C92" s="123"/>
      <c r="D92" s="124" t="s">
        <v>186</v>
      </c>
      <c r="E92" s="94"/>
      <c r="F92" s="94"/>
      <c r="G92" s="94"/>
      <c r="H92" s="94"/>
      <c r="I92" s="94"/>
      <c r="J92" s="94"/>
      <c r="K92" s="94"/>
      <c r="L92" s="94"/>
      <c r="M92" s="94"/>
      <c r="N92" s="94"/>
      <c r="O92" s="94"/>
      <c r="P92" s="94"/>
    </row>
    <row r="93" spans="1:16" s="17" customFormat="1" ht="16.5">
      <c r="A93" s="19"/>
      <c r="B93" s="33"/>
      <c r="C93" s="34"/>
      <c r="D93" s="35"/>
      <c r="E93" s="36"/>
      <c r="F93" s="36"/>
      <c r="G93" s="36"/>
      <c r="H93" s="36"/>
      <c r="I93" s="36"/>
      <c r="J93" s="36"/>
      <c r="K93" s="36"/>
      <c r="L93" s="36"/>
      <c r="M93" s="36"/>
      <c r="N93" s="36"/>
      <c r="O93" s="36"/>
      <c r="P93" s="37"/>
    </row>
    <row r="94" spans="1:16" s="17" customFormat="1" ht="16.5">
      <c r="A94" s="19"/>
      <c r="B94" s="33"/>
      <c r="C94" s="34"/>
      <c r="D94" s="35"/>
      <c r="E94" s="36"/>
      <c r="F94" s="36"/>
      <c r="G94" s="36"/>
      <c r="H94" s="36"/>
      <c r="I94" s="36"/>
      <c r="J94" s="36"/>
      <c r="K94" s="36"/>
      <c r="L94" s="36"/>
      <c r="M94" s="36"/>
      <c r="N94" s="36"/>
      <c r="O94" s="36"/>
      <c r="P94" s="37"/>
    </row>
    <row r="95" spans="2:16" ht="16.5">
      <c r="B95" s="32" t="s">
        <v>218</v>
      </c>
      <c r="E95" s="16"/>
      <c r="F95" s="16"/>
      <c r="G95" s="16"/>
      <c r="H95" s="16"/>
      <c r="I95" s="16"/>
      <c r="J95" s="16"/>
      <c r="K95" s="16"/>
      <c r="L95" s="16"/>
      <c r="M95" s="16"/>
      <c r="N95" s="16"/>
      <c r="O95" s="16" t="s">
        <v>219</v>
      </c>
      <c r="P95" s="16"/>
    </row>
    <row r="97" spans="5:16" ht="16.5">
      <c r="E97" s="16"/>
      <c r="F97" s="16"/>
      <c r="G97" s="134"/>
      <c r="H97" s="16"/>
      <c r="I97" s="16"/>
      <c r="J97" s="16"/>
      <c r="K97" s="16"/>
      <c r="L97" s="16"/>
      <c r="M97" s="16"/>
      <c r="N97" s="16"/>
      <c r="O97" s="16"/>
      <c r="P97" s="16"/>
    </row>
    <row r="98" spans="5:16" ht="16.5">
      <c r="E98" s="16"/>
      <c r="F98" s="16"/>
      <c r="G98" s="16"/>
      <c r="H98" s="16"/>
      <c r="I98" s="16"/>
      <c r="J98" s="16"/>
      <c r="K98" s="16"/>
      <c r="L98" s="16"/>
      <c r="M98" s="16"/>
      <c r="N98" s="16"/>
      <c r="O98" s="16"/>
      <c r="P98" s="16"/>
    </row>
    <row r="99" spans="5:16" ht="16.5">
      <c r="E99" s="16"/>
      <c r="F99" s="16"/>
      <c r="G99" s="16"/>
      <c r="H99" s="16"/>
      <c r="I99" s="16"/>
      <c r="J99" s="16"/>
      <c r="K99" s="16"/>
      <c r="L99" s="16"/>
      <c r="M99" s="16"/>
      <c r="N99" s="16"/>
      <c r="O99" s="16"/>
      <c r="P99" s="16"/>
    </row>
    <row r="100" spans="5:16" ht="16.5">
      <c r="E100" s="16"/>
      <c r="F100" s="16"/>
      <c r="G100" s="16"/>
      <c r="H100" s="16"/>
      <c r="I100" s="16"/>
      <c r="J100" s="16"/>
      <c r="K100" s="16"/>
      <c r="L100" s="16"/>
      <c r="M100" s="16"/>
      <c r="N100" s="16"/>
      <c r="O100" s="16"/>
      <c r="P100" s="16"/>
    </row>
    <row r="101" spans="5:16" ht="16.5">
      <c r="E101" s="16"/>
      <c r="F101" s="16"/>
      <c r="G101" s="16"/>
      <c r="H101" s="16"/>
      <c r="I101" s="16"/>
      <c r="J101" s="16"/>
      <c r="K101" s="16"/>
      <c r="L101" s="16"/>
      <c r="M101" s="16"/>
      <c r="N101" s="16"/>
      <c r="O101" s="16"/>
      <c r="P101" s="16"/>
    </row>
    <row r="102" spans="5:16" ht="16.5">
      <c r="E102" s="16"/>
      <c r="F102" s="16"/>
      <c r="G102" s="16"/>
      <c r="H102" s="16"/>
      <c r="I102" s="16"/>
      <c r="J102" s="16"/>
      <c r="K102" s="16"/>
      <c r="L102" s="16"/>
      <c r="M102" s="16"/>
      <c r="N102" s="16"/>
      <c r="O102" s="16"/>
      <c r="P102" s="16"/>
    </row>
    <row r="104" spans="5:16" ht="16.5">
      <c r="E104" s="16"/>
      <c r="F104" s="16"/>
      <c r="G104" s="16"/>
      <c r="H104" s="16"/>
      <c r="I104" s="16"/>
      <c r="J104" s="16"/>
      <c r="K104" s="16"/>
      <c r="L104" s="16"/>
      <c r="M104" s="16"/>
      <c r="N104" s="16"/>
      <c r="O104" s="16"/>
      <c r="P104" s="16"/>
    </row>
    <row r="105" spans="5:16" ht="16.5">
      <c r="E105" s="16"/>
      <c r="F105" s="16"/>
      <c r="G105" s="16"/>
      <c r="H105" s="16"/>
      <c r="I105" s="16"/>
      <c r="J105" s="16"/>
      <c r="K105" s="16"/>
      <c r="L105" s="16"/>
      <c r="M105" s="16"/>
      <c r="N105" s="16"/>
      <c r="O105" s="16"/>
      <c r="P105" s="16"/>
    </row>
    <row r="106" spans="4:16" ht="16.5">
      <c r="D106" s="67"/>
      <c r="E106" s="16"/>
      <c r="F106" s="16"/>
      <c r="G106" s="16"/>
      <c r="H106" s="16"/>
      <c r="I106" s="16"/>
      <c r="J106" s="16"/>
      <c r="K106" s="16"/>
      <c r="L106" s="16"/>
      <c r="M106" s="16"/>
      <c r="N106" s="16"/>
      <c r="O106" s="16"/>
      <c r="P106" s="16"/>
    </row>
    <row r="107" spans="4:16" ht="16.5">
      <c r="D107" s="67"/>
      <c r="E107" s="16"/>
      <c r="F107" s="16"/>
      <c r="G107" s="16"/>
      <c r="H107" s="16"/>
      <c r="I107" s="16"/>
      <c r="J107" s="16"/>
      <c r="K107" s="16"/>
      <c r="L107" s="16"/>
      <c r="M107" s="16"/>
      <c r="N107" s="16"/>
      <c r="O107" s="16"/>
      <c r="P107" s="16"/>
    </row>
    <row r="108" spans="4:16" ht="16.5">
      <c r="D108" s="67"/>
      <c r="E108" s="16"/>
      <c r="F108" s="16"/>
      <c r="G108" s="16"/>
      <c r="H108" s="16"/>
      <c r="I108" s="16"/>
      <c r="J108" s="16"/>
      <c r="K108" s="16"/>
      <c r="L108" s="16"/>
      <c r="M108" s="16"/>
      <c r="N108" s="16"/>
      <c r="O108" s="16"/>
      <c r="P108" s="16"/>
    </row>
    <row r="109" spans="4:16" ht="16.5">
      <c r="D109" s="67"/>
      <c r="E109" s="16"/>
      <c r="F109" s="16"/>
      <c r="G109" s="16"/>
      <c r="H109" s="16"/>
      <c r="I109" s="16"/>
      <c r="J109" s="16"/>
      <c r="K109" s="16"/>
      <c r="L109" s="16"/>
      <c r="M109" s="16"/>
      <c r="N109" s="16"/>
      <c r="O109" s="16"/>
      <c r="P109" s="16"/>
    </row>
    <row r="110" spans="5:16" ht="16.5">
      <c r="E110" s="16"/>
      <c r="F110" s="16"/>
      <c r="G110" s="16"/>
      <c r="H110" s="16"/>
      <c r="I110" s="16"/>
      <c r="J110" s="16"/>
      <c r="K110" s="16"/>
      <c r="L110" s="16"/>
      <c r="M110" s="16"/>
      <c r="N110" s="16"/>
      <c r="O110" s="16"/>
      <c r="P110" s="16"/>
    </row>
    <row r="111" spans="5:16" ht="16.5">
      <c r="E111" s="16"/>
      <c r="F111" s="16"/>
      <c r="G111" s="16"/>
      <c r="H111" s="16"/>
      <c r="I111" s="16"/>
      <c r="J111" s="16"/>
      <c r="K111" s="16"/>
      <c r="L111" s="16"/>
      <c r="M111" s="16"/>
      <c r="N111" s="16"/>
      <c r="O111" s="16"/>
      <c r="P111" s="16"/>
    </row>
    <row r="112" spans="5:16" ht="16.5">
      <c r="E112" s="16"/>
      <c r="F112" s="16"/>
      <c r="G112" s="16"/>
      <c r="H112" s="16"/>
      <c r="I112" s="16"/>
      <c r="J112" s="16"/>
      <c r="K112" s="16"/>
      <c r="L112" s="16"/>
      <c r="M112" s="16"/>
      <c r="N112" s="16"/>
      <c r="O112" s="16"/>
      <c r="P112" s="16"/>
    </row>
    <row r="113" spans="5:16" ht="16.5">
      <c r="E113" s="16"/>
      <c r="F113" s="16"/>
      <c r="G113" s="16"/>
      <c r="H113" s="16"/>
      <c r="I113" s="16"/>
      <c r="J113" s="16"/>
      <c r="K113" s="16"/>
      <c r="L113" s="16"/>
      <c r="M113" s="16"/>
      <c r="N113" s="16"/>
      <c r="O113" s="16"/>
      <c r="P113" s="16"/>
    </row>
    <row r="114" spans="5:16" ht="16.5">
      <c r="E114" s="16"/>
      <c r="F114" s="16"/>
      <c r="G114" s="16"/>
      <c r="H114" s="16"/>
      <c r="I114" s="16"/>
      <c r="J114" s="16"/>
      <c r="K114" s="16"/>
      <c r="L114" s="16"/>
      <c r="M114" s="16"/>
      <c r="N114" s="16"/>
      <c r="O114" s="16"/>
      <c r="P114" s="16"/>
    </row>
    <row r="115" spans="5:16" ht="16.5">
      <c r="E115" s="16"/>
      <c r="F115" s="16"/>
      <c r="G115" s="16"/>
      <c r="H115" s="16"/>
      <c r="I115" s="16"/>
      <c r="J115" s="16"/>
      <c r="K115" s="16"/>
      <c r="L115" s="16"/>
      <c r="M115" s="16"/>
      <c r="N115" s="16"/>
      <c r="O115" s="16"/>
      <c r="P115" s="16"/>
    </row>
    <row r="116" spans="5:16" ht="16.5">
      <c r="E116" s="16"/>
      <c r="F116" s="16"/>
      <c r="G116" s="16"/>
      <c r="H116" s="16"/>
      <c r="I116" s="16"/>
      <c r="J116" s="16"/>
      <c r="K116" s="16"/>
      <c r="L116" s="16"/>
      <c r="M116" s="16"/>
      <c r="N116" s="16"/>
      <c r="O116" s="16"/>
      <c r="P116" s="16"/>
    </row>
    <row r="117" spans="5:16" ht="16.5">
      <c r="E117" s="16"/>
      <c r="F117" s="16"/>
      <c r="G117" s="16"/>
      <c r="H117" s="16"/>
      <c r="I117" s="16"/>
      <c r="J117" s="16"/>
      <c r="K117" s="16"/>
      <c r="L117" s="16"/>
      <c r="M117" s="16"/>
      <c r="N117" s="16"/>
      <c r="O117" s="16"/>
      <c r="P117" s="16"/>
    </row>
    <row r="118" spans="5:16" ht="16.5">
      <c r="E118" s="16"/>
      <c r="F118" s="16"/>
      <c r="G118" s="16"/>
      <c r="H118" s="16"/>
      <c r="I118" s="16"/>
      <c r="J118" s="16"/>
      <c r="K118" s="16"/>
      <c r="L118" s="16"/>
      <c r="M118" s="16"/>
      <c r="N118" s="16"/>
      <c r="O118" s="16"/>
      <c r="P118" s="16"/>
    </row>
    <row r="119" spans="5:16" ht="16.5">
      <c r="E119" s="16"/>
      <c r="F119" s="16"/>
      <c r="G119" s="16"/>
      <c r="H119" s="16"/>
      <c r="I119" s="16"/>
      <c r="J119" s="16"/>
      <c r="K119" s="16"/>
      <c r="L119" s="16"/>
      <c r="M119" s="16"/>
      <c r="N119" s="16"/>
      <c r="O119" s="16"/>
      <c r="P119" s="16"/>
    </row>
    <row r="120" spans="5:16" ht="16.5">
      <c r="E120" s="16"/>
      <c r="F120" s="16"/>
      <c r="G120" s="16"/>
      <c r="H120" s="16"/>
      <c r="I120" s="16"/>
      <c r="J120" s="16"/>
      <c r="K120" s="16"/>
      <c r="L120" s="16"/>
      <c r="M120" s="16"/>
      <c r="N120" s="16"/>
      <c r="O120" s="16"/>
      <c r="P120" s="16"/>
    </row>
    <row r="121" spans="5:16" ht="16.5">
      <c r="E121" s="16"/>
      <c r="F121" s="16"/>
      <c r="G121" s="16"/>
      <c r="H121" s="16"/>
      <c r="I121" s="16"/>
      <c r="J121" s="16"/>
      <c r="K121" s="16"/>
      <c r="L121" s="16"/>
      <c r="M121" s="16"/>
      <c r="N121" s="16"/>
      <c r="O121" s="16"/>
      <c r="P121" s="16"/>
    </row>
    <row r="122" spans="5:16" ht="16.5">
      <c r="E122" s="16"/>
      <c r="F122" s="16"/>
      <c r="G122" s="16"/>
      <c r="H122" s="16"/>
      <c r="I122" s="16"/>
      <c r="J122" s="16"/>
      <c r="K122" s="16"/>
      <c r="L122" s="16"/>
      <c r="M122" s="16"/>
      <c r="N122" s="16"/>
      <c r="O122" s="16"/>
      <c r="P122" s="16"/>
    </row>
    <row r="123" spans="5:16" ht="16.5">
      <c r="E123" s="16"/>
      <c r="F123" s="16"/>
      <c r="G123" s="16"/>
      <c r="H123" s="16"/>
      <c r="I123" s="16"/>
      <c r="J123" s="16"/>
      <c r="K123" s="16"/>
      <c r="L123" s="16"/>
      <c r="M123" s="16"/>
      <c r="N123" s="16"/>
      <c r="O123" s="16"/>
      <c r="P123" s="16"/>
    </row>
    <row r="124" spans="5:16" ht="16.5">
      <c r="E124" s="16"/>
      <c r="F124" s="16"/>
      <c r="G124" s="16"/>
      <c r="H124" s="16"/>
      <c r="I124" s="16"/>
      <c r="J124" s="16"/>
      <c r="K124" s="16"/>
      <c r="L124" s="16"/>
      <c r="M124" s="16"/>
      <c r="N124" s="16"/>
      <c r="O124" s="16"/>
      <c r="P124" s="16"/>
    </row>
    <row r="125" spans="5:16" ht="16.5">
      <c r="E125" s="16"/>
      <c r="F125" s="16"/>
      <c r="G125" s="16"/>
      <c r="H125" s="16"/>
      <c r="I125" s="16"/>
      <c r="J125" s="16"/>
      <c r="K125" s="16"/>
      <c r="L125" s="16"/>
      <c r="M125" s="16"/>
      <c r="N125" s="16"/>
      <c r="O125" s="16"/>
      <c r="P125" s="16"/>
    </row>
    <row r="126" spans="5:16" ht="16.5">
      <c r="E126" s="16"/>
      <c r="F126" s="16"/>
      <c r="G126" s="16"/>
      <c r="H126" s="16"/>
      <c r="I126" s="16"/>
      <c r="J126" s="16"/>
      <c r="K126" s="16"/>
      <c r="L126" s="16"/>
      <c r="M126" s="16"/>
      <c r="N126" s="16"/>
      <c r="O126" s="16"/>
      <c r="P126" s="16"/>
    </row>
    <row r="127" spans="5:16" ht="16.5">
      <c r="E127" s="16"/>
      <c r="F127" s="16"/>
      <c r="G127" s="16"/>
      <c r="H127" s="16"/>
      <c r="I127" s="16"/>
      <c r="J127" s="16"/>
      <c r="K127" s="16"/>
      <c r="L127" s="16"/>
      <c r="M127" s="16"/>
      <c r="N127" s="16"/>
      <c r="O127" s="16"/>
      <c r="P127" s="16"/>
    </row>
    <row r="128" spans="5:16" ht="16.5">
      <c r="E128" s="16"/>
      <c r="F128" s="16"/>
      <c r="G128" s="16"/>
      <c r="H128" s="16"/>
      <c r="I128" s="16"/>
      <c r="J128" s="16"/>
      <c r="K128" s="16"/>
      <c r="L128" s="16"/>
      <c r="M128" s="16"/>
      <c r="N128" s="16"/>
      <c r="O128" s="16"/>
      <c r="P128" s="16"/>
    </row>
    <row r="129" spans="5:16" ht="16.5">
      <c r="E129" s="16"/>
      <c r="F129" s="16"/>
      <c r="G129" s="16"/>
      <c r="H129" s="16"/>
      <c r="I129" s="16"/>
      <c r="J129" s="16"/>
      <c r="K129" s="16"/>
      <c r="L129" s="16"/>
      <c r="M129" s="16"/>
      <c r="N129" s="16"/>
      <c r="O129" s="16"/>
      <c r="P129" s="16"/>
    </row>
    <row r="130" spans="5:16" ht="16.5">
      <c r="E130" s="16"/>
      <c r="F130" s="16"/>
      <c r="G130" s="16"/>
      <c r="H130" s="16"/>
      <c r="I130" s="16"/>
      <c r="J130" s="16"/>
      <c r="K130" s="16"/>
      <c r="L130" s="16"/>
      <c r="M130" s="16"/>
      <c r="N130" s="16"/>
      <c r="O130" s="16"/>
      <c r="P130" s="16"/>
    </row>
    <row r="131" spans="5:16" ht="16.5">
      <c r="E131" s="16"/>
      <c r="F131" s="16"/>
      <c r="G131" s="16"/>
      <c r="H131" s="16"/>
      <c r="I131" s="16"/>
      <c r="J131" s="16"/>
      <c r="K131" s="16"/>
      <c r="L131" s="16"/>
      <c r="M131" s="16"/>
      <c r="N131" s="16"/>
      <c r="O131" s="16"/>
      <c r="P131" s="16"/>
    </row>
    <row r="132" spans="5:16" ht="16.5">
      <c r="E132" s="16"/>
      <c r="F132" s="16"/>
      <c r="G132" s="16"/>
      <c r="H132" s="16"/>
      <c r="I132" s="16"/>
      <c r="J132" s="16"/>
      <c r="K132" s="16"/>
      <c r="L132" s="16"/>
      <c r="M132" s="16"/>
      <c r="N132" s="16"/>
      <c r="O132" s="16"/>
      <c r="P132" s="16"/>
    </row>
    <row r="133" spans="5:16" ht="16.5">
      <c r="E133" s="16"/>
      <c r="F133" s="16"/>
      <c r="G133" s="16"/>
      <c r="H133" s="16"/>
      <c r="I133" s="16"/>
      <c r="J133" s="16"/>
      <c r="K133" s="16"/>
      <c r="L133" s="16"/>
      <c r="M133" s="16"/>
      <c r="N133" s="16"/>
      <c r="O133" s="16"/>
      <c r="P133" s="16"/>
    </row>
    <row r="134" spans="5:16" ht="16.5">
      <c r="E134" s="16"/>
      <c r="F134" s="16"/>
      <c r="G134" s="16"/>
      <c r="H134" s="16"/>
      <c r="I134" s="16"/>
      <c r="J134" s="16"/>
      <c r="K134" s="16"/>
      <c r="L134" s="16"/>
      <c r="M134" s="16"/>
      <c r="N134" s="16"/>
      <c r="O134" s="16"/>
      <c r="P134" s="16"/>
    </row>
    <row r="135" spans="5:16" ht="16.5">
      <c r="E135" s="16"/>
      <c r="F135" s="16"/>
      <c r="G135" s="16"/>
      <c r="H135" s="16"/>
      <c r="I135" s="16"/>
      <c r="J135" s="16"/>
      <c r="K135" s="16"/>
      <c r="L135" s="16"/>
      <c r="M135" s="16"/>
      <c r="N135" s="16"/>
      <c r="O135" s="16"/>
      <c r="P135" s="16"/>
    </row>
    <row r="136" spans="5:16" ht="16.5">
      <c r="E136" s="16"/>
      <c r="F136" s="16"/>
      <c r="G136" s="16"/>
      <c r="H136" s="16"/>
      <c r="I136" s="16"/>
      <c r="J136" s="16"/>
      <c r="K136" s="16"/>
      <c r="L136" s="16"/>
      <c r="M136" s="16"/>
      <c r="N136" s="16"/>
      <c r="O136" s="16"/>
      <c r="P136" s="16"/>
    </row>
    <row r="137" spans="5:16" ht="16.5">
      <c r="E137" s="16"/>
      <c r="F137" s="16"/>
      <c r="G137" s="16"/>
      <c r="H137" s="16"/>
      <c r="I137" s="16"/>
      <c r="J137" s="16"/>
      <c r="K137" s="16"/>
      <c r="L137" s="16"/>
      <c r="M137" s="16"/>
      <c r="N137" s="16"/>
      <c r="O137" s="16"/>
      <c r="P137" s="16"/>
    </row>
    <row r="138" spans="5:16" ht="16.5">
      <c r="E138" s="16"/>
      <c r="F138" s="16"/>
      <c r="G138" s="16"/>
      <c r="H138" s="16"/>
      <c r="I138" s="16"/>
      <c r="J138" s="16"/>
      <c r="K138" s="16"/>
      <c r="L138" s="16"/>
      <c r="M138" s="16"/>
      <c r="N138" s="16"/>
      <c r="O138" s="16"/>
      <c r="P138" s="16"/>
    </row>
    <row r="139" spans="5:16" ht="16.5">
      <c r="E139" s="16"/>
      <c r="F139" s="16"/>
      <c r="G139" s="16"/>
      <c r="H139" s="16"/>
      <c r="I139" s="16"/>
      <c r="J139" s="16"/>
      <c r="K139" s="16"/>
      <c r="L139" s="16"/>
      <c r="M139" s="16"/>
      <c r="N139" s="16"/>
      <c r="O139" s="16"/>
      <c r="P139" s="16"/>
    </row>
    <row r="140" spans="5:16" ht="16.5">
      <c r="E140" s="16"/>
      <c r="F140" s="16"/>
      <c r="G140" s="16"/>
      <c r="H140" s="16"/>
      <c r="I140" s="16"/>
      <c r="J140" s="16"/>
      <c r="K140" s="16"/>
      <c r="L140" s="16"/>
      <c r="M140" s="16"/>
      <c r="N140" s="16"/>
      <c r="O140" s="16"/>
      <c r="P140" s="16"/>
    </row>
    <row r="141" spans="5:16" ht="16.5">
      <c r="E141" s="16"/>
      <c r="F141" s="16"/>
      <c r="G141" s="16"/>
      <c r="H141" s="16"/>
      <c r="I141" s="16"/>
      <c r="J141" s="16"/>
      <c r="K141" s="16"/>
      <c r="L141" s="16"/>
      <c r="M141" s="16"/>
      <c r="N141" s="16"/>
      <c r="O141" s="16"/>
      <c r="P141" s="16"/>
    </row>
    <row r="142" spans="5:16" ht="16.5">
      <c r="E142" s="16"/>
      <c r="F142" s="16"/>
      <c r="G142" s="16"/>
      <c r="H142" s="16"/>
      <c r="I142" s="16"/>
      <c r="J142" s="16"/>
      <c r="K142" s="16"/>
      <c r="L142" s="16"/>
      <c r="M142" s="16"/>
      <c r="N142" s="16"/>
      <c r="O142" s="16"/>
      <c r="P142" s="16"/>
    </row>
    <row r="143" spans="5:16" ht="16.5">
      <c r="E143" s="16"/>
      <c r="F143" s="16"/>
      <c r="G143" s="16"/>
      <c r="H143" s="16"/>
      <c r="I143" s="16"/>
      <c r="J143" s="16"/>
      <c r="K143" s="16"/>
      <c r="L143" s="16"/>
      <c r="M143" s="16"/>
      <c r="N143" s="16"/>
      <c r="O143" s="16"/>
      <c r="P143" s="16"/>
    </row>
    <row r="144" spans="5:16" ht="16.5">
      <c r="E144" s="16"/>
      <c r="F144" s="16"/>
      <c r="G144" s="16"/>
      <c r="H144" s="16"/>
      <c r="I144" s="16"/>
      <c r="J144" s="16"/>
      <c r="K144" s="16"/>
      <c r="L144" s="16"/>
      <c r="M144" s="16"/>
      <c r="N144" s="16"/>
      <c r="O144" s="16"/>
      <c r="P144" s="16"/>
    </row>
    <row r="145" spans="5:16" ht="16.5">
      <c r="E145" s="16"/>
      <c r="F145" s="16"/>
      <c r="G145" s="16"/>
      <c r="H145" s="16"/>
      <c r="I145" s="16"/>
      <c r="J145" s="16"/>
      <c r="K145" s="16"/>
      <c r="L145" s="16"/>
      <c r="M145" s="16"/>
      <c r="N145" s="16"/>
      <c r="O145" s="16"/>
      <c r="P145" s="16"/>
    </row>
    <row r="146" spans="5:16" ht="16.5">
      <c r="E146" s="16"/>
      <c r="F146" s="16"/>
      <c r="G146" s="16"/>
      <c r="H146" s="16"/>
      <c r="I146" s="16"/>
      <c r="J146" s="16"/>
      <c r="K146" s="16"/>
      <c r="L146" s="16"/>
      <c r="M146" s="16"/>
      <c r="N146" s="16"/>
      <c r="O146" s="16"/>
      <c r="P146" s="16"/>
    </row>
    <row r="147" spans="5:16" ht="16.5">
      <c r="E147" s="16"/>
      <c r="F147" s="16"/>
      <c r="G147" s="16"/>
      <c r="H147" s="16"/>
      <c r="I147" s="16"/>
      <c r="J147" s="16"/>
      <c r="K147" s="16"/>
      <c r="L147" s="16"/>
      <c r="M147" s="16"/>
      <c r="N147" s="16"/>
      <c r="O147" s="16"/>
      <c r="P147" s="16"/>
    </row>
    <row r="148" spans="5:16" ht="16.5">
      <c r="E148" s="16"/>
      <c r="F148" s="16"/>
      <c r="G148" s="16"/>
      <c r="H148" s="16"/>
      <c r="I148" s="16"/>
      <c r="J148" s="16"/>
      <c r="K148" s="16"/>
      <c r="L148" s="16"/>
      <c r="M148" s="16"/>
      <c r="N148" s="16"/>
      <c r="O148" s="16"/>
      <c r="P148" s="16"/>
    </row>
    <row r="149" spans="5:16" ht="16.5">
      <c r="E149" s="16"/>
      <c r="F149" s="16"/>
      <c r="G149" s="16"/>
      <c r="H149" s="16"/>
      <c r="I149" s="16"/>
      <c r="J149" s="16"/>
      <c r="K149" s="16"/>
      <c r="L149" s="16"/>
      <c r="M149" s="16"/>
      <c r="N149" s="16"/>
      <c r="O149" s="16"/>
      <c r="P149" s="16"/>
    </row>
    <row r="150" spans="5:16" ht="16.5">
      <c r="E150" s="16"/>
      <c r="F150" s="16"/>
      <c r="G150" s="16"/>
      <c r="H150" s="16"/>
      <c r="I150" s="16"/>
      <c r="J150" s="16"/>
      <c r="K150" s="16"/>
      <c r="L150" s="16"/>
      <c r="M150" s="16"/>
      <c r="N150" s="16"/>
      <c r="O150" s="16"/>
      <c r="P150" s="16"/>
    </row>
    <row r="151" spans="5:16" ht="16.5">
      <c r="E151" s="16"/>
      <c r="F151" s="16"/>
      <c r="G151" s="16"/>
      <c r="H151" s="16"/>
      <c r="I151" s="16"/>
      <c r="J151" s="16"/>
      <c r="K151" s="16"/>
      <c r="L151" s="16"/>
      <c r="M151" s="16"/>
      <c r="N151" s="16"/>
      <c r="O151" s="16"/>
      <c r="P151" s="16"/>
    </row>
    <row r="152" spans="5:16" ht="16.5">
      <c r="E152" s="16"/>
      <c r="F152" s="16"/>
      <c r="G152" s="16"/>
      <c r="H152" s="16"/>
      <c r="I152" s="16"/>
      <c r="J152" s="16"/>
      <c r="K152" s="16"/>
      <c r="L152" s="16"/>
      <c r="M152" s="16"/>
      <c r="N152" s="16"/>
      <c r="O152" s="16"/>
      <c r="P152" s="16"/>
    </row>
    <row r="153" spans="5:16" ht="16.5">
      <c r="E153" s="16"/>
      <c r="F153" s="16"/>
      <c r="G153" s="16"/>
      <c r="H153" s="16"/>
      <c r="I153" s="16"/>
      <c r="J153" s="16"/>
      <c r="K153" s="16"/>
      <c r="L153" s="16"/>
      <c r="M153" s="16"/>
      <c r="N153" s="16"/>
      <c r="O153" s="16"/>
      <c r="P153" s="16"/>
    </row>
    <row r="154" spans="5:16" ht="16.5">
      <c r="E154" s="16"/>
      <c r="F154" s="16"/>
      <c r="G154" s="16"/>
      <c r="H154" s="16"/>
      <c r="I154" s="16"/>
      <c r="J154" s="16"/>
      <c r="K154" s="16"/>
      <c r="L154" s="16"/>
      <c r="M154" s="16"/>
      <c r="N154" s="16"/>
      <c r="O154" s="16"/>
      <c r="P154" s="16"/>
    </row>
    <row r="155" spans="5:16" ht="16.5">
      <c r="E155" s="16"/>
      <c r="F155" s="16"/>
      <c r="G155" s="16"/>
      <c r="H155" s="16"/>
      <c r="I155" s="16"/>
      <c r="J155" s="16"/>
      <c r="K155" s="16"/>
      <c r="L155" s="16"/>
      <c r="M155" s="16"/>
      <c r="N155" s="16"/>
      <c r="O155" s="16"/>
      <c r="P155" s="16"/>
    </row>
    <row r="156" spans="5:16" ht="16.5">
      <c r="E156" s="16"/>
      <c r="F156" s="16"/>
      <c r="G156" s="16"/>
      <c r="H156" s="16"/>
      <c r="I156" s="16"/>
      <c r="J156" s="16"/>
      <c r="K156" s="16"/>
      <c r="L156" s="16"/>
      <c r="M156" s="16"/>
      <c r="N156" s="16"/>
      <c r="O156" s="16"/>
      <c r="P156" s="16"/>
    </row>
    <row r="157" spans="5:16" ht="16.5">
      <c r="E157" s="16"/>
      <c r="F157" s="16"/>
      <c r="G157" s="16"/>
      <c r="H157" s="16"/>
      <c r="I157" s="16"/>
      <c r="J157" s="16"/>
      <c r="K157" s="16"/>
      <c r="L157" s="16"/>
      <c r="M157" s="16"/>
      <c r="N157" s="16"/>
      <c r="O157" s="16"/>
      <c r="P157" s="16"/>
    </row>
    <row r="158" spans="5:16" ht="16.5">
      <c r="E158" s="16"/>
      <c r="F158" s="16"/>
      <c r="G158" s="16"/>
      <c r="H158" s="16"/>
      <c r="I158" s="16"/>
      <c r="J158" s="16"/>
      <c r="K158" s="16"/>
      <c r="L158" s="16"/>
      <c r="M158" s="16"/>
      <c r="N158" s="16"/>
      <c r="O158" s="16"/>
      <c r="P158" s="16"/>
    </row>
    <row r="159" spans="5:16" ht="16.5">
      <c r="E159" s="16"/>
      <c r="F159" s="16"/>
      <c r="G159" s="16"/>
      <c r="H159" s="16"/>
      <c r="I159" s="16"/>
      <c r="J159" s="16"/>
      <c r="K159" s="16"/>
      <c r="L159" s="16"/>
      <c r="M159" s="16"/>
      <c r="N159" s="16"/>
      <c r="O159" s="16"/>
      <c r="P159" s="16"/>
    </row>
    <row r="160" spans="5:16" ht="16.5">
      <c r="E160" s="16"/>
      <c r="F160" s="16"/>
      <c r="G160" s="16"/>
      <c r="H160" s="16"/>
      <c r="I160" s="16"/>
      <c r="J160" s="16"/>
      <c r="K160" s="16"/>
      <c r="L160" s="16"/>
      <c r="M160" s="16"/>
      <c r="N160" s="16"/>
      <c r="O160" s="16"/>
      <c r="P160" s="16"/>
    </row>
    <row r="161" spans="5:16" ht="16.5">
      <c r="E161" s="16"/>
      <c r="F161" s="16"/>
      <c r="G161" s="16"/>
      <c r="H161" s="16"/>
      <c r="I161" s="16"/>
      <c r="J161" s="16"/>
      <c r="K161" s="16"/>
      <c r="L161" s="16"/>
      <c r="M161" s="16"/>
      <c r="N161" s="16"/>
      <c r="O161" s="16"/>
      <c r="P161" s="16"/>
    </row>
    <row r="162" spans="5:16" ht="16.5">
      <c r="E162" s="16"/>
      <c r="F162" s="16"/>
      <c r="G162" s="16"/>
      <c r="H162" s="16"/>
      <c r="I162" s="16"/>
      <c r="J162" s="16"/>
      <c r="K162" s="16"/>
      <c r="L162" s="16"/>
      <c r="M162" s="16"/>
      <c r="N162" s="16"/>
      <c r="O162" s="16"/>
      <c r="P162" s="16"/>
    </row>
    <row r="163" spans="5:16" ht="16.5">
      <c r="E163" s="16"/>
      <c r="F163" s="16"/>
      <c r="G163" s="16"/>
      <c r="H163" s="16"/>
      <c r="I163" s="16"/>
      <c r="J163" s="16"/>
      <c r="K163" s="16"/>
      <c r="L163" s="16"/>
      <c r="M163" s="16"/>
      <c r="N163" s="16"/>
      <c r="O163" s="16"/>
      <c r="P163" s="16"/>
    </row>
    <row r="164" spans="5:16" ht="16.5">
      <c r="E164" s="16"/>
      <c r="F164" s="16"/>
      <c r="G164" s="16"/>
      <c r="H164" s="16"/>
      <c r="I164" s="16"/>
      <c r="J164" s="16"/>
      <c r="K164" s="16"/>
      <c r="L164" s="16"/>
      <c r="M164" s="16"/>
      <c r="N164" s="16"/>
      <c r="O164" s="16"/>
      <c r="P164" s="16"/>
    </row>
    <row r="165" spans="5:16" ht="16.5">
      <c r="E165" s="16"/>
      <c r="F165" s="16"/>
      <c r="G165" s="16"/>
      <c r="H165" s="16"/>
      <c r="I165" s="16"/>
      <c r="J165" s="16"/>
      <c r="K165" s="16"/>
      <c r="L165" s="16"/>
      <c r="M165" s="16"/>
      <c r="N165" s="16"/>
      <c r="O165" s="16"/>
      <c r="P165" s="16"/>
    </row>
    <row r="166" spans="5:16" ht="16.5">
      <c r="E166" s="16"/>
      <c r="F166" s="16"/>
      <c r="G166" s="16"/>
      <c r="H166" s="16"/>
      <c r="I166" s="16"/>
      <c r="J166" s="16"/>
      <c r="K166" s="16"/>
      <c r="L166" s="16"/>
      <c r="M166" s="16"/>
      <c r="N166" s="16"/>
      <c r="O166" s="16"/>
      <c r="P166" s="16"/>
    </row>
    <row r="167" spans="5:16" ht="16.5">
      <c r="E167" s="16"/>
      <c r="F167" s="16"/>
      <c r="G167" s="16"/>
      <c r="H167" s="16"/>
      <c r="I167" s="16"/>
      <c r="J167" s="16"/>
      <c r="K167" s="16"/>
      <c r="L167" s="16"/>
      <c r="M167" s="16"/>
      <c r="N167" s="16"/>
      <c r="O167" s="16"/>
      <c r="P167" s="16"/>
    </row>
    <row r="168" spans="5:16" ht="16.5">
      <c r="E168" s="16"/>
      <c r="F168" s="16"/>
      <c r="G168" s="16"/>
      <c r="H168" s="16"/>
      <c r="I168" s="16"/>
      <c r="J168" s="16"/>
      <c r="K168" s="16"/>
      <c r="L168" s="16"/>
      <c r="M168" s="16"/>
      <c r="N168" s="16"/>
      <c r="O168" s="16"/>
      <c r="P168" s="16"/>
    </row>
    <row r="169" spans="5:16" ht="16.5">
      <c r="E169" s="16"/>
      <c r="F169" s="16"/>
      <c r="G169" s="16"/>
      <c r="H169" s="16"/>
      <c r="I169" s="16"/>
      <c r="J169" s="16"/>
      <c r="K169" s="16"/>
      <c r="L169" s="16"/>
      <c r="M169" s="16"/>
      <c r="N169" s="16"/>
      <c r="O169" s="16"/>
      <c r="P169" s="16"/>
    </row>
    <row r="170" spans="5:16" ht="16.5">
      <c r="E170" s="16"/>
      <c r="F170" s="16"/>
      <c r="G170" s="16"/>
      <c r="H170" s="16"/>
      <c r="I170" s="16"/>
      <c r="J170" s="16"/>
      <c r="K170" s="16"/>
      <c r="L170" s="16"/>
      <c r="M170" s="16"/>
      <c r="N170" s="16"/>
      <c r="O170" s="16"/>
      <c r="P170" s="16"/>
    </row>
    <row r="171" spans="5:16" ht="16.5">
      <c r="E171" s="16"/>
      <c r="F171" s="16"/>
      <c r="G171" s="16"/>
      <c r="H171" s="16"/>
      <c r="I171" s="16"/>
      <c r="J171" s="16"/>
      <c r="K171" s="16"/>
      <c r="L171" s="16"/>
      <c r="M171" s="16"/>
      <c r="N171" s="16"/>
      <c r="O171" s="16"/>
      <c r="P171" s="16"/>
    </row>
    <row r="172" spans="5:16" ht="16.5">
      <c r="E172" s="16"/>
      <c r="F172" s="16"/>
      <c r="G172" s="16"/>
      <c r="H172" s="16"/>
      <c r="I172" s="16"/>
      <c r="J172" s="16"/>
      <c r="K172" s="16"/>
      <c r="L172" s="16"/>
      <c r="M172" s="16"/>
      <c r="N172" s="16"/>
      <c r="O172" s="16"/>
      <c r="P172" s="16"/>
    </row>
    <row r="173" spans="5:16" ht="16.5">
      <c r="E173" s="16"/>
      <c r="F173" s="16"/>
      <c r="G173" s="16"/>
      <c r="H173" s="16"/>
      <c r="I173" s="16"/>
      <c r="J173" s="16"/>
      <c r="K173" s="16"/>
      <c r="L173" s="16"/>
      <c r="M173" s="16"/>
      <c r="N173" s="16"/>
      <c r="O173" s="16"/>
      <c r="P173" s="16"/>
    </row>
    <row r="174" spans="5:16" ht="16.5">
      <c r="E174" s="16"/>
      <c r="F174" s="16"/>
      <c r="G174" s="16"/>
      <c r="H174" s="16"/>
      <c r="I174" s="16"/>
      <c r="J174" s="16"/>
      <c r="K174" s="16"/>
      <c r="L174" s="16"/>
      <c r="M174" s="16"/>
      <c r="N174" s="16"/>
      <c r="O174" s="16"/>
      <c r="P174" s="16"/>
    </row>
    <row r="175" spans="5:16" ht="16.5">
      <c r="E175" s="16"/>
      <c r="F175" s="16"/>
      <c r="G175" s="16"/>
      <c r="H175" s="16"/>
      <c r="I175" s="16"/>
      <c r="J175" s="16"/>
      <c r="K175" s="16"/>
      <c r="L175" s="16"/>
      <c r="M175" s="16"/>
      <c r="N175" s="16"/>
      <c r="O175" s="16"/>
      <c r="P175" s="16"/>
    </row>
    <row r="176" spans="5:16" ht="16.5">
      <c r="E176" s="16"/>
      <c r="F176" s="16"/>
      <c r="G176" s="16"/>
      <c r="H176" s="16"/>
      <c r="I176" s="16"/>
      <c r="J176" s="16"/>
      <c r="K176" s="16"/>
      <c r="L176" s="16"/>
      <c r="M176" s="16"/>
      <c r="N176" s="16"/>
      <c r="O176" s="16"/>
      <c r="P176" s="16"/>
    </row>
    <row r="177" spans="5:16" ht="16.5">
      <c r="E177" s="16"/>
      <c r="F177" s="16"/>
      <c r="G177" s="16"/>
      <c r="H177" s="16"/>
      <c r="I177" s="16"/>
      <c r="J177" s="16"/>
      <c r="K177" s="16"/>
      <c r="L177" s="16"/>
      <c r="M177" s="16"/>
      <c r="N177" s="16"/>
      <c r="O177" s="16"/>
      <c r="P177" s="16"/>
    </row>
    <row r="178" spans="5:16" ht="16.5">
      <c r="E178" s="16"/>
      <c r="F178" s="16"/>
      <c r="G178" s="16"/>
      <c r="H178" s="16"/>
      <c r="I178" s="16"/>
      <c r="J178" s="16"/>
      <c r="K178" s="16"/>
      <c r="L178" s="16"/>
      <c r="M178" s="16"/>
      <c r="N178" s="16"/>
      <c r="O178" s="16"/>
      <c r="P178" s="16"/>
    </row>
    <row r="179" spans="5:16" ht="16.5">
      <c r="E179" s="16"/>
      <c r="F179" s="16"/>
      <c r="G179" s="16"/>
      <c r="H179" s="16"/>
      <c r="I179" s="16"/>
      <c r="J179" s="16"/>
      <c r="K179" s="16"/>
      <c r="L179" s="16"/>
      <c r="M179" s="16"/>
      <c r="N179" s="16"/>
      <c r="O179" s="16"/>
      <c r="P179" s="16"/>
    </row>
    <row r="180" spans="5:16" ht="16.5">
      <c r="E180" s="16"/>
      <c r="F180" s="16"/>
      <c r="G180" s="16"/>
      <c r="H180" s="16"/>
      <c r="I180" s="16"/>
      <c r="J180" s="16"/>
      <c r="K180" s="16"/>
      <c r="L180" s="16"/>
      <c r="M180" s="16"/>
      <c r="N180" s="16"/>
      <c r="O180" s="16"/>
      <c r="P180" s="16"/>
    </row>
  </sheetData>
  <mergeCells count="23">
    <mergeCell ref="M1:O1"/>
    <mergeCell ref="M2:O2"/>
    <mergeCell ref="B3:P3"/>
    <mergeCell ref="B5:B8"/>
    <mergeCell ref="C5:C12"/>
    <mergeCell ref="D5:D12"/>
    <mergeCell ref="E5:I9"/>
    <mergeCell ref="J5:O9"/>
    <mergeCell ref="P5:P12"/>
    <mergeCell ref="B9:B12"/>
    <mergeCell ref="E10:E12"/>
    <mergeCell ref="F10:F12"/>
    <mergeCell ref="G10:H10"/>
    <mergeCell ref="I10:I12"/>
    <mergeCell ref="G11:G12"/>
    <mergeCell ref="H11:H12"/>
    <mergeCell ref="O11:O12"/>
    <mergeCell ref="J10:J12"/>
    <mergeCell ref="K10:K12"/>
    <mergeCell ref="L10:M10"/>
    <mergeCell ref="N10:N12"/>
    <mergeCell ref="L11:L12"/>
    <mergeCell ref="M11:M12"/>
  </mergeCells>
  <printOptions/>
  <pageMargins left="0.16" right="0.15" top="0.2" bottom="0.35" header="0.16" footer="0.5"/>
  <pageSetup fitToHeight="1" fitToWidth="1" horizontalDpi="600" verticalDpi="600" orientation="landscape" paperSize="9" scale="56" r:id="rId1"/>
</worksheet>
</file>

<file path=xl/worksheets/sheet2.xml><?xml version="1.0" encoding="utf-8"?>
<worksheet xmlns="http://schemas.openxmlformats.org/spreadsheetml/2006/main" xmlns:r="http://schemas.openxmlformats.org/officeDocument/2006/relationships">
  <dimension ref="A1:P263"/>
  <sheetViews>
    <sheetView showGridLines="0" showZeros="0" zoomScalePageLayoutView="0" workbookViewId="0" topLeftCell="B4">
      <pane xSplit="3" ySplit="9" topLeftCell="G13" activePane="bottomRight" state="frozen"/>
      <selection pane="topLeft" activeCell="B4" sqref="B4"/>
      <selection pane="topRight" activeCell="E4" sqref="E4"/>
      <selection pane="bottomLeft" activeCell="B13" sqref="B13"/>
      <selection pane="bottomRight" activeCell="P4" sqref="P4"/>
    </sheetView>
  </sheetViews>
  <sheetFormatPr defaultColWidth="9.16015625" defaultRowHeight="12.75"/>
  <cols>
    <col min="1" max="1" width="3.83203125" style="4" hidden="1" customWidth="1"/>
    <col min="2" max="2" width="13.16015625" style="11" customWidth="1"/>
    <col min="3" max="3" width="11.66015625" style="11" customWidth="1"/>
    <col min="4" max="4" width="42" style="14" customWidth="1"/>
    <col min="5" max="6" width="16.66015625" style="4" customWidth="1"/>
    <col min="7" max="7" width="16.83203125" style="4" customWidth="1"/>
    <col min="8" max="8" width="16.66015625" style="4" customWidth="1"/>
    <col min="9" max="10" width="12.66015625" style="4" customWidth="1"/>
    <col min="11" max="11" width="13.83203125" style="4" customWidth="1"/>
    <col min="12" max="15" width="12.66015625" style="4" customWidth="1"/>
    <col min="16" max="16" width="16.83203125" style="4" customWidth="1"/>
    <col min="17" max="16384" width="9.16015625" style="15" customWidth="1"/>
  </cols>
  <sheetData>
    <row r="1" spans="1:16" ht="66" customHeight="1">
      <c r="A1" s="2"/>
      <c r="D1" s="3"/>
      <c r="E1" s="1"/>
      <c r="F1" s="1"/>
      <c r="G1" s="1"/>
      <c r="H1" s="1"/>
      <c r="I1" s="1"/>
      <c r="J1" s="1"/>
      <c r="K1" s="1"/>
      <c r="L1" s="1"/>
      <c r="M1" s="142" t="s">
        <v>217</v>
      </c>
      <c r="N1" s="142"/>
      <c r="O1" s="142"/>
      <c r="P1" s="22"/>
    </row>
    <row r="2" spans="1:16" ht="12.75" customHeight="1">
      <c r="A2" s="2"/>
      <c r="D2" s="3"/>
      <c r="E2" s="1"/>
      <c r="F2" s="1"/>
      <c r="G2" s="1"/>
      <c r="H2" s="1"/>
      <c r="I2" s="1"/>
      <c r="J2" s="1"/>
      <c r="K2" s="1"/>
      <c r="L2" s="1"/>
      <c r="M2" s="142" t="s">
        <v>229</v>
      </c>
      <c r="N2" s="142"/>
      <c r="O2" s="142"/>
      <c r="P2" s="22"/>
    </row>
    <row r="3" spans="1:16" ht="45" customHeight="1">
      <c r="A3" s="2"/>
      <c r="B3" s="143" t="s">
        <v>224</v>
      </c>
      <c r="C3" s="143"/>
      <c r="D3" s="143"/>
      <c r="E3" s="143"/>
      <c r="F3" s="143"/>
      <c r="G3" s="143"/>
      <c r="H3" s="143"/>
      <c r="I3" s="143"/>
      <c r="J3" s="143"/>
      <c r="K3" s="143"/>
      <c r="L3" s="143"/>
      <c r="M3" s="143"/>
      <c r="N3" s="143"/>
      <c r="O3" s="143"/>
      <c r="P3" s="143"/>
    </row>
    <row r="4" spans="2:16" ht="19.5" thickBot="1">
      <c r="B4" s="28"/>
      <c r="C4" s="28"/>
      <c r="D4" s="29"/>
      <c r="E4" s="30"/>
      <c r="F4" s="30"/>
      <c r="G4" s="31"/>
      <c r="H4" s="30"/>
      <c r="I4" s="30"/>
      <c r="J4" s="5"/>
      <c r="K4" s="6"/>
      <c r="L4" s="6"/>
      <c r="M4" s="6"/>
      <c r="N4" s="6"/>
      <c r="O4" s="6"/>
      <c r="P4" s="13" t="s">
        <v>220</v>
      </c>
    </row>
    <row r="5" spans="2:16" ht="12.75">
      <c r="B5" s="144" t="s">
        <v>223</v>
      </c>
      <c r="C5" s="146" t="s">
        <v>9</v>
      </c>
      <c r="D5" s="149" t="s">
        <v>222</v>
      </c>
      <c r="E5" s="153" t="s">
        <v>0</v>
      </c>
      <c r="F5" s="154"/>
      <c r="G5" s="154"/>
      <c r="H5" s="154"/>
      <c r="I5" s="154"/>
      <c r="J5" s="153" t="s">
        <v>1</v>
      </c>
      <c r="K5" s="154"/>
      <c r="L5" s="154"/>
      <c r="M5" s="154"/>
      <c r="N5" s="154"/>
      <c r="O5" s="154"/>
      <c r="P5" s="156" t="s">
        <v>2</v>
      </c>
    </row>
    <row r="6" spans="2:16" ht="12.75">
      <c r="B6" s="145"/>
      <c r="C6" s="147"/>
      <c r="D6" s="150"/>
      <c r="E6" s="155"/>
      <c r="F6" s="155"/>
      <c r="G6" s="155"/>
      <c r="H6" s="155"/>
      <c r="I6" s="155"/>
      <c r="J6" s="155"/>
      <c r="K6" s="155"/>
      <c r="L6" s="155"/>
      <c r="M6" s="155"/>
      <c r="N6" s="155"/>
      <c r="O6" s="155"/>
      <c r="P6" s="157"/>
    </row>
    <row r="7" spans="2:16" ht="12.75">
      <c r="B7" s="145"/>
      <c r="C7" s="147"/>
      <c r="D7" s="150"/>
      <c r="E7" s="155"/>
      <c r="F7" s="155"/>
      <c r="G7" s="155"/>
      <c r="H7" s="155"/>
      <c r="I7" s="155"/>
      <c r="J7" s="155"/>
      <c r="K7" s="155"/>
      <c r="L7" s="155"/>
      <c r="M7" s="155"/>
      <c r="N7" s="155"/>
      <c r="O7" s="155"/>
      <c r="P7" s="157"/>
    </row>
    <row r="8" spans="2:16" ht="45" customHeight="1">
      <c r="B8" s="145"/>
      <c r="C8" s="147"/>
      <c r="D8" s="150"/>
      <c r="E8" s="155"/>
      <c r="F8" s="155"/>
      <c r="G8" s="155"/>
      <c r="H8" s="155"/>
      <c r="I8" s="155"/>
      <c r="J8" s="155"/>
      <c r="K8" s="155"/>
      <c r="L8" s="155"/>
      <c r="M8" s="155"/>
      <c r="N8" s="155"/>
      <c r="O8" s="155"/>
      <c r="P8" s="157"/>
    </row>
    <row r="9" spans="1:16" ht="21.75" customHeight="1">
      <c r="A9" s="7"/>
      <c r="B9" s="158" t="s">
        <v>12</v>
      </c>
      <c r="C9" s="147"/>
      <c r="D9" s="151"/>
      <c r="E9" s="155"/>
      <c r="F9" s="155"/>
      <c r="G9" s="155"/>
      <c r="H9" s="155"/>
      <c r="I9" s="155"/>
      <c r="J9" s="155"/>
      <c r="K9" s="155"/>
      <c r="L9" s="155"/>
      <c r="M9" s="155"/>
      <c r="N9" s="155"/>
      <c r="O9" s="155"/>
      <c r="P9" s="157"/>
    </row>
    <row r="10" spans="1:16" ht="16.5" customHeight="1">
      <c r="A10" s="8"/>
      <c r="B10" s="158"/>
      <c r="C10" s="147"/>
      <c r="D10" s="151"/>
      <c r="E10" s="138" t="s">
        <v>3</v>
      </c>
      <c r="F10" s="140" t="s">
        <v>4</v>
      </c>
      <c r="G10" s="138" t="s">
        <v>5</v>
      </c>
      <c r="H10" s="138"/>
      <c r="I10" s="140" t="s">
        <v>6</v>
      </c>
      <c r="J10" s="138" t="s">
        <v>3</v>
      </c>
      <c r="K10" s="140" t="s">
        <v>4</v>
      </c>
      <c r="L10" s="138" t="s">
        <v>5</v>
      </c>
      <c r="M10" s="138"/>
      <c r="N10" s="140" t="s">
        <v>6</v>
      </c>
      <c r="O10" s="10" t="s">
        <v>5</v>
      </c>
      <c r="P10" s="157"/>
    </row>
    <row r="11" spans="1:16" ht="20.25" customHeight="1">
      <c r="A11" s="9"/>
      <c r="B11" s="158"/>
      <c r="C11" s="147"/>
      <c r="D11" s="151"/>
      <c r="E11" s="138"/>
      <c r="F11" s="140"/>
      <c r="G11" s="138" t="s">
        <v>7</v>
      </c>
      <c r="H11" s="138" t="s">
        <v>8</v>
      </c>
      <c r="I11" s="140"/>
      <c r="J11" s="138"/>
      <c r="K11" s="140"/>
      <c r="L11" s="138" t="s">
        <v>7</v>
      </c>
      <c r="M11" s="138" t="s">
        <v>8</v>
      </c>
      <c r="N11" s="140"/>
      <c r="O11" s="136" t="s">
        <v>11</v>
      </c>
      <c r="P11" s="157"/>
    </row>
    <row r="12" spans="1:16" ht="45.75" customHeight="1" thickBot="1">
      <c r="A12" s="12"/>
      <c r="B12" s="159"/>
      <c r="C12" s="148"/>
      <c r="D12" s="152"/>
      <c r="E12" s="139"/>
      <c r="F12" s="141"/>
      <c r="G12" s="139"/>
      <c r="H12" s="139"/>
      <c r="I12" s="141"/>
      <c r="J12" s="139"/>
      <c r="K12" s="141"/>
      <c r="L12" s="139"/>
      <c r="M12" s="139"/>
      <c r="N12" s="141"/>
      <c r="O12" s="137"/>
      <c r="P12" s="135"/>
    </row>
    <row r="13" spans="1:16" s="17" customFormat="1" ht="25.5">
      <c r="A13" s="23"/>
      <c r="B13" s="115" t="s">
        <v>13</v>
      </c>
      <c r="C13" s="116"/>
      <c r="D13" s="117" t="s">
        <v>82</v>
      </c>
      <c r="E13" s="118">
        <f>E15+E16+E24+E30+E35+E41+E43+E47+E49+E51</f>
        <v>72845282</v>
      </c>
      <c r="F13" s="118">
        <f aca="true" t="shared" si="0" ref="F13:O13">F14+F16+F24+F30+F35+F38+F41+F43+F45+F47+F49+F51</f>
        <v>72845282</v>
      </c>
      <c r="G13" s="118">
        <f t="shared" si="0"/>
        <v>48142432</v>
      </c>
      <c r="H13" s="118">
        <f t="shared" si="0"/>
        <v>8803651</v>
      </c>
      <c r="I13" s="118">
        <f t="shared" si="0"/>
        <v>0</v>
      </c>
      <c r="J13" s="118">
        <f t="shared" si="0"/>
        <v>2062807</v>
      </c>
      <c r="K13" s="118">
        <f t="shared" si="0"/>
        <v>641807</v>
      </c>
      <c r="L13" s="118">
        <f t="shared" si="0"/>
        <v>302576</v>
      </c>
      <c r="M13" s="118">
        <f t="shared" si="0"/>
        <v>22420</v>
      </c>
      <c r="N13" s="118">
        <f t="shared" si="0"/>
        <v>1421000</v>
      </c>
      <c r="O13" s="118">
        <f t="shared" si="0"/>
        <v>1220000</v>
      </c>
      <c r="P13" s="119">
        <f>E13+J13</f>
        <v>74908089</v>
      </c>
    </row>
    <row r="14" spans="1:16" s="17" customFormat="1" ht="16.5">
      <c r="A14" s="23"/>
      <c r="B14" s="70" t="s">
        <v>14</v>
      </c>
      <c r="C14" s="81"/>
      <c r="D14" s="72" t="s">
        <v>83</v>
      </c>
      <c r="E14" s="73">
        <f>F14</f>
        <v>7484797</v>
      </c>
      <c r="F14" s="73">
        <f>F15</f>
        <v>7484797</v>
      </c>
      <c r="G14" s="73">
        <f>G15</f>
        <v>6248289</v>
      </c>
      <c r="H14" s="73">
        <f aca="true" t="shared" si="1" ref="H14:O14">H15</f>
        <v>553221</v>
      </c>
      <c r="I14" s="73">
        <f t="shared" si="1"/>
        <v>0</v>
      </c>
      <c r="J14" s="73">
        <f t="shared" si="1"/>
        <v>8103</v>
      </c>
      <c r="K14" s="73">
        <f t="shared" si="1"/>
        <v>8103</v>
      </c>
      <c r="L14" s="73">
        <f t="shared" si="1"/>
        <v>0</v>
      </c>
      <c r="M14" s="73">
        <f t="shared" si="1"/>
        <v>0</v>
      </c>
      <c r="N14" s="73">
        <f t="shared" si="1"/>
        <v>0</v>
      </c>
      <c r="O14" s="73">
        <f t="shared" si="1"/>
        <v>0</v>
      </c>
      <c r="P14" s="76">
        <f>E14+J14</f>
        <v>7492900</v>
      </c>
    </row>
    <row r="15" spans="1:16" ht="16.5">
      <c r="A15" s="24"/>
      <c r="B15" s="74" t="s">
        <v>10</v>
      </c>
      <c r="C15" s="71" t="s">
        <v>188</v>
      </c>
      <c r="D15" s="75" t="s">
        <v>84</v>
      </c>
      <c r="E15" s="88">
        <f>F15</f>
        <v>7484797</v>
      </c>
      <c r="F15" s="88">
        <f>G15+H15+105497+532190+34500+10500+600</f>
        <v>7484797</v>
      </c>
      <c r="G15" s="88">
        <f>5121548+1126741</f>
        <v>6248289</v>
      </c>
      <c r="H15" s="88">
        <f>432930+16202+104089</f>
        <v>553221</v>
      </c>
      <c r="I15" s="88"/>
      <c r="J15" s="88">
        <f>K15+N15</f>
        <v>8103</v>
      </c>
      <c r="K15" s="69">
        <v>8103</v>
      </c>
      <c r="L15" s="69"/>
      <c r="M15" s="69"/>
      <c r="N15" s="69"/>
      <c r="O15" s="69"/>
      <c r="P15" s="76">
        <f aca="true" t="shared" si="2" ref="P15:P86">E15+J15</f>
        <v>7492900</v>
      </c>
    </row>
    <row r="16" spans="1:16" s="17" customFormat="1" ht="16.5">
      <c r="A16" s="23"/>
      <c r="B16" s="70" t="s">
        <v>15</v>
      </c>
      <c r="C16" s="81"/>
      <c r="D16" s="72" t="s">
        <v>85</v>
      </c>
      <c r="E16" s="73">
        <f>E17+E20+E23</f>
        <v>55504484</v>
      </c>
      <c r="F16" s="73">
        <f aca="true" t="shared" si="3" ref="F16:O16">F17+F20+F23</f>
        <v>55504484</v>
      </c>
      <c r="G16" s="73">
        <f t="shared" si="3"/>
        <v>41506000</v>
      </c>
      <c r="H16" s="73">
        <f t="shared" si="3"/>
        <v>8222302</v>
      </c>
      <c r="I16" s="73">
        <f t="shared" si="3"/>
        <v>0</v>
      </c>
      <c r="J16" s="73">
        <f t="shared" si="3"/>
        <v>613704</v>
      </c>
      <c r="K16" s="73">
        <f t="shared" si="3"/>
        <v>613704</v>
      </c>
      <c r="L16" s="73">
        <f t="shared" si="3"/>
        <v>302576</v>
      </c>
      <c r="M16" s="73">
        <f t="shared" si="3"/>
        <v>22420</v>
      </c>
      <c r="N16" s="73">
        <f t="shared" si="3"/>
        <v>0</v>
      </c>
      <c r="O16" s="73">
        <f t="shared" si="3"/>
        <v>0</v>
      </c>
      <c r="P16" s="76">
        <f t="shared" si="2"/>
        <v>56118188</v>
      </c>
    </row>
    <row r="17" spans="1:16" ht="16.5">
      <c r="A17" s="24"/>
      <c r="B17" s="74" t="s">
        <v>16</v>
      </c>
      <c r="C17" s="71" t="s">
        <v>189</v>
      </c>
      <c r="D17" s="75" t="s">
        <v>86</v>
      </c>
      <c r="E17" s="69">
        <f>E18+E19</f>
        <v>45806240</v>
      </c>
      <c r="F17" s="69">
        <f aca="true" t="shared" si="4" ref="F17:O17">F18+F19</f>
        <v>45806240</v>
      </c>
      <c r="G17" s="69">
        <f t="shared" si="4"/>
        <v>34220000</v>
      </c>
      <c r="H17" s="69">
        <f t="shared" si="4"/>
        <v>7416240</v>
      </c>
      <c r="I17" s="69">
        <f t="shared" si="4"/>
        <v>0</v>
      </c>
      <c r="J17" s="69">
        <f>K17+N17</f>
        <v>597504</v>
      </c>
      <c r="K17" s="69">
        <v>597504</v>
      </c>
      <c r="L17" s="69">
        <v>302576</v>
      </c>
      <c r="M17" s="69">
        <v>22420</v>
      </c>
      <c r="N17" s="69">
        <f t="shared" si="4"/>
        <v>0</v>
      </c>
      <c r="O17" s="69">
        <f t="shared" si="4"/>
        <v>0</v>
      </c>
      <c r="P17" s="76">
        <f t="shared" si="2"/>
        <v>46403744</v>
      </c>
    </row>
    <row r="18" spans="1:16" ht="28.5" customHeight="1">
      <c r="A18" s="24"/>
      <c r="B18" s="74"/>
      <c r="C18" s="71"/>
      <c r="D18" s="75" t="s">
        <v>226</v>
      </c>
      <c r="E18" s="69">
        <f>F18</f>
        <v>38976700</v>
      </c>
      <c r="F18" s="69">
        <v>38976700</v>
      </c>
      <c r="G18" s="69">
        <v>34220000</v>
      </c>
      <c r="H18" s="69">
        <v>3500000</v>
      </c>
      <c r="I18" s="69"/>
      <c r="J18" s="69">
        <f aca="true" t="shared" si="5" ref="J18:J30">K18+N18</f>
        <v>0</v>
      </c>
      <c r="K18" s="69"/>
      <c r="L18" s="69"/>
      <c r="M18" s="69"/>
      <c r="N18" s="69"/>
      <c r="O18" s="69"/>
      <c r="P18" s="76">
        <f t="shared" si="2"/>
        <v>38976700</v>
      </c>
    </row>
    <row r="19" spans="1:16" ht="28.5" customHeight="1">
      <c r="A19" s="24"/>
      <c r="B19" s="74"/>
      <c r="C19" s="71"/>
      <c r="D19" s="75" t="s">
        <v>228</v>
      </c>
      <c r="E19" s="69">
        <f>F19</f>
        <v>6829540</v>
      </c>
      <c r="F19" s="69">
        <v>6829540</v>
      </c>
      <c r="G19" s="69"/>
      <c r="H19" s="69">
        <v>3916240</v>
      </c>
      <c r="I19" s="69"/>
      <c r="J19" s="69">
        <f t="shared" si="5"/>
        <v>0</v>
      </c>
      <c r="K19" s="69"/>
      <c r="L19" s="69"/>
      <c r="M19" s="69"/>
      <c r="N19" s="69"/>
      <c r="O19" s="69"/>
      <c r="P19" s="76">
        <f t="shared" si="2"/>
        <v>6829540</v>
      </c>
    </row>
    <row r="20" spans="1:16" ht="26.25">
      <c r="A20" s="24"/>
      <c r="B20" s="74" t="s">
        <v>17</v>
      </c>
      <c r="C20" s="71" t="s">
        <v>190</v>
      </c>
      <c r="D20" s="96" t="s">
        <v>87</v>
      </c>
      <c r="E20" s="69">
        <f>E21+E22</f>
        <v>9298244</v>
      </c>
      <c r="F20" s="69">
        <f aca="true" t="shared" si="6" ref="F20:O20">F21+F22</f>
        <v>9298244</v>
      </c>
      <c r="G20" s="69">
        <f t="shared" si="6"/>
        <v>7286000</v>
      </c>
      <c r="H20" s="69">
        <f t="shared" si="6"/>
        <v>806062</v>
      </c>
      <c r="I20" s="69">
        <f t="shared" si="6"/>
        <v>0</v>
      </c>
      <c r="J20" s="69">
        <f t="shared" si="5"/>
        <v>16200</v>
      </c>
      <c r="K20" s="69">
        <v>16200</v>
      </c>
      <c r="L20" s="69">
        <f t="shared" si="6"/>
        <v>0</v>
      </c>
      <c r="M20" s="69">
        <f t="shared" si="6"/>
        <v>0</v>
      </c>
      <c r="N20" s="69">
        <f t="shared" si="6"/>
        <v>0</v>
      </c>
      <c r="O20" s="69">
        <f t="shared" si="6"/>
        <v>0</v>
      </c>
      <c r="P20" s="76">
        <f t="shared" si="2"/>
        <v>9314444</v>
      </c>
    </row>
    <row r="21" spans="1:16" ht="25.5">
      <c r="A21" s="24"/>
      <c r="B21" s="74"/>
      <c r="C21" s="71"/>
      <c r="D21" s="75" t="s">
        <v>226</v>
      </c>
      <c r="E21" s="69">
        <f>F21</f>
        <v>7105900</v>
      </c>
      <c r="F21" s="69">
        <v>7105900</v>
      </c>
      <c r="G21" s="69">
        <v>6282400</v>
      </c>
      <c r="H21" s="69">
        <v>400000</v>
      </c>
      <c r="I21" s="69"/>
      <c r="J21" s="69">
        <f t="shared" si="5"/>
        <v>0</v>
      </c>
      <c r="K21" s="69"/>
      <c r="L21" s="69"/>
      <c r="M21" s="69"/>
      <c r="N21" s="69"/>
      <c r="O21" s="69"/>
      <c r="P21" s="76">
        <f t="shared" si="2"/>
        <v>7105900</v>
      </c>
    </row>
    <row r="22" spans="1:16" ht="25.5">
      <c r="A22" s="24"/>
      <c r="B22" s="74"/>
      <c r="C22" s="71"/>
      <c r="D22" s="75" t="s">
        <v>228</v>
      </c>
      <c r="E22" s="69">
        <f>F22</f>
        <v>2192344</v>
      </c>
      <c r="F22" s="69">
        <v>2192344</v>
      </c>
      <c r="G22" s="69">
        <v>1003600</v>
      </c>
      <c r="H22" s="69">
        <v>406062</v>
      </c>
      <c r="I22" s="69"/>
      <c r="J22" s="69">
        <f t="shared" si="5"/>
        <v>0</v>
      </c>
      <c r="K22" s="69"/>
      <c r="L22" s="69"/>
      <c r="M22" s="69"/>
      <c r="N22" s="69"/>
      <c r="O22" s="69"/>
      <c r="P22" s="76">
        <f t="shared" si="2"/>
        <v>2192344</v>
      </c>
    </row>
    <row r="23" spans="1:16" ht="16.5">
      <c r="A23" s="24"/>
      <c r="B23" s="74" t="s">
        <v>18</v>
      </c>
      <c r="C23" s="71" t="s">
        <v>191</v>
      </c>
      <c r="D23" s="75" t="s">
        <v>88</v>
      </c>
      <c r="E23" s="69">
        <v>400000</v>
      </c>
      <c r="F23" s="69">
        <v>400000</v>
      </c>
      <c r="G23" s="69"/>
      <c r="H23" s="69"/>
      <c r="I23" s="69"/>
      <c r="J23" s="69">
        <f t="shared" si="5"/>
        <v>0</v>
      </c>
      <c r="K23" s="69"/>
      <c r="L23" s="69"/>
      <c r="M23" s="69"/>
      <c r="N23" s="69"/>
      <c r="O23" s="69"/>
      <c r="P23" s="76">
        <f t="shared" si="2"/>
        <v>400000</v>
      </c>
    </row>
    <row r="24" spans="1:16" s="17" customFormat="1" ht="25.5">
      <c r="A24" s="23"/>
      <c r="B24" s="70" t="s">
        <v>19</v>
      </c>
      <c r="C24" s="71"/>
      <c r="D24" s="72" t="s">
        <v>89</v>
      </c>
      <c r="E24" s="73">
        <f>E25+E26+E27+E28+E29</f>
        <v>757236</v>
      </c>
      <c r="F24" s="73">
        <f aca="true" t="shared" si="7" ref="F24:O24">F25+F26+F27+F28+F29</f>
        <v>757236</v>
      </c>
      <c r="G24" s="73">
        <f t="shared" si="7"/>
        <v>388143</v>
      </c>
      <c r="H24" s="73">
        <f t="shared" si="7"/>
        <v>28128</v>
      </c>
      <c r="I24" s="73">
        <f t="shared" si="7"/>
        <v>0</v>
      </c>
      <c r="J24" s="69">
        <f t="shared" si="5"/>
        <v>0</v>
      </c>
      <c r="K24" s="73">
        <f t="shared" si="7"/>
        <v>0</v>
      </c>
      <c r="L24" s="73">
        <f t="shared" si="7"/>
        <v>0</v>
      </c>
      <c r="M24" s="73">
        <f t="shared" si="7"/>
        <v>0</v>
      </c>
      <c r="N24" s="73">
        <f t="shared" si="7"/>
        <v>0</v>
      </c>
      <c r="O24" s="73">
        <f t="shared" si="7"/>
        <v>0</v>
      </c>
      <c r="P24" s="76">
        <f t="shared" si="2"/>
        <v>757236</v>
      </c>
    </row>
    <row r="25" spans="1:16" ht="25.5">
      <c r="A25" s="24"/>
      <c r="B25" s="74" t="s">
        <v>20</v>
      </c>
      <c r="C25" s="71" t="s">
        <v>192</v>
      </c>
      <c r="D25" s="75" t="s">
        <v>90</v>
      </c>
      <c r="E25" s="69">
        <f>F25</f>
        <v>290000</v>
      </c>
      <c r="F25" s="69">
        <v>290000</v>
      </c>
      <c r="G25" s="69"/>
      <c r="H25" s="69"/>
      <c r="I25" s="69"/>
      <c r="J25" s="69">
        <f t="shared" si="5"/>
        <v>0</v>
      </c>
      <c r="K25" s="69"/>
      <c r="L25" s="69"/>
      <c r="M25" s="69"/>
      <c r="N25" s="69"/>
      <c r="O25" s="69"/>
      <c r="P25" s="76">
        <f t="shared" si="2"/>
        <v>290000</v>
      </c>
    </row>
    <row r="26" spans="1:16" ht="25.5">
      <c r="A26" s="24"/>
      <c r="B26" s="74" t="s">
        <v>21</v>
      </c>
      <c r="C26" s="71" t="s">
        <v>193</v>
      </c>
      <c r="D26" s="75" t="s">
        <v>91</v>
      </c>
      <c r="E26" s="69">
        <f>F26</f>
        <v>38800</v>
      </c>
      <c r="F26" s="69">
        <v>38800</v>
      </c>
      <c r="G26" s="69"/>
      <c r="H26" s="69"/>
      <c r="I26" s="69"/>
      <c r="J26" s="69">
        <f t="shared" si="5"/>
        <v>0</v>
      </c>
      <c r="K26" s="69"/>
      <c r="L26" s="69"/>
      <c r="M26" s="69"/>
      <c r="N26" s="69"/>
      <c r="O26" s="69"/>
      <c r="P26" s="76">
        <f t="shared" si="2"/>
        <v>38800</v>
      </c>
    </row>
    <row r="27" spans="1:16" ht="16.5">
      <c r="A27" s="24"/>
      <c r="B27" s="74" t="s">
        <v>22</v>
      </c>
      <c r="C27" s="71" t="s">
        <v>194</v>
      </c>
      <c r="D27" s="75" t="s">
        <v>92</v>
      </c>
      <c r="E27" s="69">
        <v>2000</v>
      </c>
      <c r="F27" s="69">
        <v>2000</v>
      </c>
      <c r="G27" s="69"/>
      <c r="H27" s="69"/>
      <c r="I27" s="69"/>
      <c r="J27" s="69">
        <f t="shared" si="5"/>
        <v>0</v>
      </c>
      <c r="K27" s="69"/>
      <c r="L27" s="69"/>
      <c r="M27" s="69"/>
      <c r="N27" s="69"/>
      <c r="O27" s="69"/>
      <c r="P27" s="76">
        <f t="shared" si="2"/>
        <v>2000</v>
      </c>
    </row>
    <row r="28" spans="1:16" ht="25.5">
      <c r="A28" s="24"/>
      <c r="B28" s="74" t="s">
        <v>23</v>
      </c>
      <c r="C28" s="71" t="s">
        <v>194</v>
      </c>
      <c r="D28" s="75" t="s">
        <v>93</v>
      </c>
      <c r="E28" s="69">
        <f>F28</f>
        <v>424436</v>
      </c>
      <c r="F28" s="69">
        <f>G28+H28+8165</f>
        <v>424436</v>
      </c>
      <c r="G28" s="69">
        <f>318150+69993</f>
        <v>388143</v>
      </c>
      <c r="H28" s="69">
        <f>28128</f>
        <v>28128</v>
      </c>
      <c r="I28" s="69"/>
      <c r="J28" s="69">
        <f t="shared" si="5"/>
        <v>0</v>
      </c>
      <c r="K28" s="69"/>
      <c r="L28" s="69"/>
      <c r="M28" s="69"/>
      <c r="N28" s="69"/>
      <c r="O28" s="69"/>
      <c r="P28" s="76">
        <f t="shared" si="2"/>
        <v>424436</v>
      </c>
    </row>
    <row r="29" spans="1:16" ht="25.5">
      <c r="A29" s="24"/>
      <c r="B29" s="74" t="s">
        <v>24</v>
      </c>
      <c r="C29" s="71" t="s">
        <v>194</v>
      </c>
      <c r="D29" s="75" t="s">
        <v>94</v>
      </c>
      <c r="E29" s="69">
        <v>2000</v>
      </c>
      <c r="F29" s="69">
        <v>2000</v>
      </c>
      <c r="G29" s="69"/>
      <c r="H29" s="69"/>
      <c r="I29" s="69"/>
      <c r="J29" s="69">
        <f t="shared" si="5"/>
        <v>0</v>
      </c>
      <c r="K29" s="69"/>
      <c r="L29" s="69"/>
      <c r="M29" s="69"/>
      <c r="N29" s="69"/>
      <c r="O29" s="69"/>
      <c r="P29" s="76">
        <f t="shared" si="2"/>
        <v>2000</v>
      </c>
    </row>
    <row r="30" spans="1:16" s="17" customFormat="1" ht="16.5">
      <c r="A30" s="23"/>
      <c r="B30" s="70">
        <v>100000</v>
      </c>
      <c r="C30" s="71"/>
      <c r="D30" s="72" t="s">
        <v>95</v>
      </c>
      <c r="E30" s="73">
        <f>SUM(E31:E34)</f>
        <v>6070000</v>
      </c>
      <c r="F30" s="73">
        <f>SUM(F31:F34)</f>
        <v>6070000</v>
      </c>
      <c r="G30" s="73"/>
      <c r="H30" s="73"/>
      <c r="I30" s="73"/>
      <c r="J30" s="69">
        <f t="shared" si="5"/>
        <v>0</v>
      </c>
      <c r="K30" s="73"/>
      <c r="L30" s="73"/>
      <c r="M30" s="73"/>
      <c r="N30" s="73"/>
      <c r="O30" s="73"/>
      <c r="P30" s="76">
        <f t="shared" si="2"/>
        <v>6070000</v>
      </c>
    </row>
    <row r="31" spans="1:16" s="18" customFormat="1" ht="25.5" hidden="1">
      <c r="A31" s="25"/>
      <c r="B31" s="80" t="s">
        <v>184</v>
      </c>
      <c r="C31" s="71" t="s">
        <v>195</v>
      </c>
      <c r="D31" s="75" t="s">
        <v>185</v>
      </c>
      <c r="E31" s="69"/>
      <c r="F31" s="69"/>
      <c r="G31" s="69"/>
      <c r="H31" s="69"/>
      <c r="I31" s="69"/>
      <c r="J31" s="68"/>
      <c r="K31" s="69"/>
      <c r="L31" s="69"/>
      <c r="M31" s="69"/>
      <c r="N31" s="69"/>
      <c r="O31" s="69"/>
      <c r="P31" s="76">
        <f t="shared" si="2"/>
        <v>0</v>
      </c>
    </row>
    <row r="32" spans="1:16" s="18" customFormat="1" ht="31.5">
      <c r="A32" s="25"/>
      <c r="B32" s="80" t="s">
        <v>230</v>
      </c>
      <c r="C32" s="71" t="s">
        <v>196</v>
      </c>
      <c r="D32" s="113" t="s">
        <v>231</v>
      </c>
      <c r="E32" s="69">
        <f>F32</f>
        <v>50000</v>
      </c>
      <c r="F32" s="69">
        <v>50000</v>
      </c>
      <c r="G32" s="69"/>
      <c r="H32" s="69"/>
      <c r="I32" s="69"/>
      <c r="J32" s="68"/>
      <c r="K32" s="69"/>
      <c r="L32" s="69"/>
      <c r="M32" s="69"/>
      <c r="N32" s="69"/>
      <c r="O32" s="69"/>
      <c r="P32" s="76">
        <f t="shared" si="2"/>
        <v>50000</v>
      </c>
    </row>
    <row r="33" spans="1:16" ht="16.5">
      <c r="A33" s="24"/>
      <c r="B33" s="74">
        <v>100203</v>
      </c>
      <c r="C33" s="71" t="s">
        <v>196</v>
      </c>
      <c r="D33" s="75" t="s">
        <v>96</v>
      </c>
      <c r="E33" s="69">
        <f>F33</f>
        <v>6000000</v>
      </c>
      <c r="F33" s="69">
        <v>6000000</v>
      </c>
      <c r="G33" s="69"/>
      <c r="H33" s="69"/>
      <c r="I33" s="69"/>
      <c r="J33" s="68"/>
      <c r="K33" s="69"/>
      <c r="L33" s="69"/>
      <c r="M33" s="69"/>
      <c r="N33" s="69"/>
      <c r="O33" s="69"/>
      <c r="P33" s="76">
        <f t="shared" si="2"/>
        <v>6000000</v>
      </c>
    </row>
    <row r="34" spans="1:16" ht="51.75">
      <c r="A34" s="24"/>
      <c r="B34" s="74" t="s">
        <v>25</v>
      </c>
      <c r="C34" s="71" t="s">
        <v>196</v>
      </c>
      <c r="D34" s="114" t="s">
        <v>97</v>
      </c>
      <c r="E34" s="69">
        <f>F34</f>
        <v>20000</v>
      </c>
      <c r="F34" s="69">
        <v>20000</v>
      </c>
      <c r="G34" s="69"/>
      <c r="H34" s="69"/>
      <c r="I34" s="69"/>
      <c r="J34" s="68"/>
      <c r="K34" s="69"/>
      <c r="L34" s="69"/>
      <c r="M34" s="69"/>
      <c r="N34" s="69"/>
      <c r="O34" s="69"/>
      <c r="P34" s="76">
        <f t="shared" si="2"/>
        <v>20000</v>
      </c>
    </row>
    <row r="35" spans="1:16" s="17" customFormat="1" ht="16.5">
      <c r="A35" s="23"/>
      <c r="B35" s="70">
        <v>120000</v>
      </c>
      <c r="C35" s="71"/>
      <c r="D35" s="72" t="s">
        <v>98</v>
      </c>
      <c r="E35" s="73">
        <f>E36+E37</f>
        <v>361505</v>
      </c>
      <c r="F35" s="73">
        <f aca="true" t="shared" si="8" ref="F35:O35">F36+F37</f>
        <v>361505</v>
      </c>
      <c r="G35" s="73">
        <f t="shared" si="8"/>
        <v>0</v>
      </c>
      <c r="H35" s="73">
        <f t="shared" si="8"/>
        <v>0</v>
      </c>
      <c r="I35" s="73">
        <f t="shared" si="8"/>
        <v>0</v>
      </c>
      <c r="J35" s="73">
        <f t="shared" si="8"/>
        <v>0</v>
      </c>
      <c r="K35" s="73">
        <f t="shared" si="8"/>
        <v>0</v>
      </c>
      <c r="L35" s="73">
        <f t="shared" si="8"/>
        <v>0</v>
      </c>
      <c r="M35" s="73">
        <f t="shared" si="8"/>
        <v>0</v>
      </c>
      <c r="N35" s="73">
        <f t="shared" si="8"/>
        <v>0</v>
      </c>
      <c r="O35" s="73">
        <f t="shared" si="8"/>
        <v>0</v>
      </c>
      <c r="P35" s="76">
        <f t="shared" si="2"/>
        <v>361505</v>
      </c>
    </row>
    <row r="36" spans="1:16" s="18" customFormat="1" ht="16.5">
      <c r="A36" s="25"/>
      <c r="B36" s="97">
        <v>120100</v>
      </c>
      <c r="C36" s="98" t="s">
        <v>197</v>
      </c>
      <c r="D36" s="99" t="s">
        <v>99</v>
      </c>
      <c r="E36" s="69">
        <f>F36</f>
        <v>162505</v>
      </c>
      <c r="F36" s="69">
        <v>162505</v>
      </c>
      <c r="G36" s="69"/>
      <c r="H36" s="69"/>
      <c r="I36" s="69"/>
      <c r="J36" s="73"/>
      <c r="K36" s="69"/>
      <c r="L36" s="69"/>
      <c r="M36" s="69"/>
      <c r="N36" s="69"/>
      <c r="O36" s="69"/>
      <c r="P36" s="76">
        <f t="shared" si="2"/>
        <v>162505</v>
      </c>
    </row>
    <row r="37" spans="1:16" ht="16.5">
      <c r="A37" s="24"/>
      <c r="B37" s="74">
        <v>120201</v>
      </c>
      <c r="C37" s="71" t="s">
        <v>197</v>
      </c>
      <c r="D37" s="75" t="s">
        <v>100</v>
      </c>
      <c r="E37" s="69">
        <v>199000</v>
      </c>
      <c r="F37" s="69">
        <v>199000</v>
      </c>
      <c r="G37" s="69"/>
      <c r="H37" s="69"/>
      <c r="I37" s="69"/>
      <c r="J37" s="68"/>
      <c r="K37" s="69"/>
      <c r="L37" s="69"/>
      <c r="M37" s="69"/>
      <c r="N37" s="69"/>
      <c r="O37" s="69"/>
      <c r="P37" s="76">
        <f t="shared" si="2"/>
        <v>199000</v>
      </c>
    </row>
    <row r="38" spans="1:16" ht="16.5" hidden="1">
      <c r="A38" s="24"/>
      <c r="B38" s="38">
        <v>150000</v>
      </c>
      <c r="C38" s="44"/>
      <c r="D38" s="40" t="s">
        <v>101</v>
      </c>
      <c r="E38" s="47"/>
      <c r="F38" s="47"/>
      <c r="G38" s="47"/>
      <c r="H38" s="47"/>
      <c r="I38" s="47"/>
      <c r="J38" s="47"/>
      <c r="K38" s="47"/>
      <c r="L38" s="47"/>
      <c r="M38" s="47"/>
      <c r="N38" s="47"/>
      <c r="O38" s="47"/>
      <c r="P38" s="42">
        <f t="shared" si="2"/>
        <v>0</v>
      </c>
    </row>
    <row r="39" spans="1:16" ht="16.5" hidden="1">
      <c r="A39" s="24"/>
      <c r="B39" s="43">
        <v>150101</v>
      </c>
      <c r="C39" s="44" t="s">
        <v>198</v>
      </c>
      <c r="D39" s="45" t="s">
        <v>102</v>
      </c>
      <c r="E39" s="47"/>
      <c r="F39" s="47"/>
      <c r="G39" s="47"/>
      <c r="H39" s="47"/>
      <c r="I39" s="47"/>
      <c r="J39" s="49"/>
      <c r="K39" s="47"/>
      <c r="L39" s="47"/>
      <c r="M39" s="47"/>
      <c r="N39" s="47"/>
      <c r="O39" s="47"/>
      <c r="P39" s="42">
        <f t="shared" si="2"/>
        <v>0</v>
      </c>
    </row>
    <row r="40" spans="1:16" ht="25.5" hidden="1">
      <c r="A40" s="24"/>
      <c r="B40" s="43" t="s">
        <v>26</v>
      </c>
      <c r="C40" s="44" t="s">
        <v>199</v>
      </c>
      <c r="D40" s="45" t="s">
        <v>103</v>
      </c>
      <c r="E40" s="47"/>
      <c r="F40" s="47"/>
      <c r="G40" s="47"/>
      <c r="H40" s="47"/>
      <c r="I40" s="47"/>
      <c r="J40" s="49"/>
      <c r="K40" s="47"/>
      <c r="L40" s="47"/>
      <c r="M40" s="47"/>
      <c r="N40" s="47"/>
      <c r="O40" s="47"/>
      <c r="P40" s="42">
        <f t="shared" si="2"/>
        <v>0</v>
      </c>
    </row>
    <row r="41" spans="1:16" s="17" customFormat="1" ht="25.5">
      <c r="A41" s="23"/>
      <c r="B41" s="70" t="s">
        <v>27</v>
      </c>
      <c r="C41" s="71"/>
      <c r="D41" s="72" t="s">
        <v>104</v>
      </c>
      <c r="E41" s="73">
        <f>E42</f>
        <v>130914</v>
      </c>
      <c r="F41" s="73">
        <f>F42</f>
        <v>130914</v>
      </c>
      <c r="G41" s="73"/>
      <c r="H41" s="73"/>
      <c r="I41" s="73"/>
      <c r="J41" s="68"/>
      <c r="K41" s="73"/>
      <c r="L41" s="73"/>
      <c r="M41" s="73"/>
      <c r="N41" s="73"/>
      <c r="O41" s="73"/>
      <c r="P41" s="76">
        <f t="shared" si="2"/>
        <v>130914</v>
      </c>
    </row>
    <row r="42" spans="1:16" ht="16.5">
      <c r="A42" s="24"/>
      <c r="B42" s="74" t="s">
        <v>28</v>
      </c>
      <c r="C42" s="71" t="s">
        <v>200</v>
      </c>
      <c r="D42" s="112" t="s">
        <v>105</v>
      </c>
      <c r="E42" s="69">
        <f>F42</f>
        <v>130914</v>
      </c>
      <c r="F42" s="69">
        <v>130914</v>
      </c>
      <c r="G42" s="69"/>
      <c r="H42" s="69"/>
      <c r="I42" s="69"/>
      <c r="J42" s="68"/>
      <c r="K42" s="69"/>
      <c r="L42" s="69"/>
      <c r="M42" s="69"/>
      <c r="N42" s="69"/>
      <c r="O42" s="69"/>
      <c r="P42" s="76">
        <f t="shared" si="2"/>
        <v>130914</v>
      </c>
    </row>
    <row r="43" spans="1:16" s="17" customFormat="1" ht="38.25">
      <c r="A43" s="23"/>
      <c r="B43" s="70">
        <v>170000</v>
      </c>
      <c r="C43" s="71"/>
      <c r="D43" s="72" t="s">
        <v>106</v>
      </c>
      <c r="E43" s="73">
        <f>E44</f>
        <v>1880000</v>
      </c>
      <c r="F43" s="73">
        <f>F44</f>
        <v>1880000</v>
      </c>
      <c r="G43" s="73"/>
      <c r="H43" s="73"/>
      <c r="I43" s="73"/>
      <c r="J43" s="73">
        <f>J44</f>
        <v>1220000</v>
      </c>
      <c r="K43" s="73">
        <f>K44</f>
        <v>0</v>
      </c>
      <c r="L43" s="73"/>
      <c r="M43" s="73"/>
      <c r="N43" s="73">
        <f>N44</f>
        <v>1220000</v>
      </c>
      <c r="O43" s="73">
        <f>O44</f>
        <v>1220000</v>
      </c>
      <c r="P43" s="76">
        <f t="shared" si="2"/>
        <v>3100000</v>
      </c>
    </row>
    <row r="44" spans="1:16" ht="38.25">
      <c r="A44" s="24"/>
      <c r="B44" s="74">
        <v>170703</v>
      </c>
      <c r="C44" s="71" t="s">
        <v>201</v>
      </c>
      <c r="D44" s="75" t="s">
        <v>107</v>
      </c>
      <c r="E44" s="69">
        <f>F44</f>
        <v>1880000</v>
      </c>
      <c r="F44" s="69">
        <v>1880000</v>
      </c>
      <c r="G44" s="69"/>
      <c r="H44" s="69"/>
      <c r="I44" s="69"/>
      <c r="J44" s="68">
        <f>K44+N44</f>
        <v>1220000</v>
      </c>
      <c r="K44" s="69"/>
      <c r="L44" s="69"/>
      <c r="M44" s="69"/>
      <c r="N44" s="69">
        <v>1220000</v>
      </c>
      <c r="O44" s="69">
        <v>1220000</v>
      </c>
      <c r="P44" s="76">
        <f t="shared" si="2"/>
        <v>3100000</v>
      </c>
    </row>
    <row r="45" spans="1:16" s="17" customFormat="1" ht="25.5" hidden="1">
      <c r="A45" s="23"/>
      <c r="B45" s="38">
        <v>180000</v>
      </c>
      <c r="C45" s="44"/>
      <c r="D45" s="40" t="s">
        <v>108</v>
      </c>
      <c r="E45" s="41"/>
      <c r="F45" s="41"/>
      <c r="G45" s="41"/>
      <c r="H45" s="41"/>
      <c r="I45" s="41"/>
      <c r="J45" s="41"/>
      <c r="K45" s="41"/>
      <c r="L45" s="41"/>
      <c r="M45" s="41"/>
      <c r="N45" s="41"/>
      <c r="O45" s="41"/>
      <c r="P45" s="42">
        <f t="shared" si="2"/>
        <v>0</v>
      </c>
    </row>
    <row r="46" spans="1:16" ht="51" hidden="1">
      <c r="A46" s="24"/>
      <c r="B46" s="43">
        <v>180409</v>
      </c>
      <c r="C46" s="44" t="s">
        <v>198</v>
      </c>
      <c r="D46" s="45" t="s">
        <v>109</v>
      </c>
      <c r="E46" s="47"/>
      <c r="F46" s="47"/>
      <c r="G46" s="47"/>
      <c r="H46" s="47"/>
      <c r="I46" s="47"/>
      <c r="J46" s="49"/>
      <c r="K46" s="47"/>
      <c r="L46" s="47"/>
      <c r="M46" s="47"/>
      <c r="N46" s="47"/>
      <c r="O46" s="47"/>
      <c r="P46" s="42">
        <f t="shared" si="2"/>
        <v>0</v>
      </c>
    </row>
    <row r="47" spans="1:16" ht="0.75" customHeight="1">
      <c r="A47" s="24"/>
      <c r="B47" s="48"/>
      <c r="C47" s="44"/>
      <c r="D47" s="50"/>
      <c r="E47" s="49"/>
      <c r="F47" s="49"/>
      <c r="G47" s="47"/>
      <c r="H47" s="47"/>
      <c r="I47" s="47"/>
      <c r="J47" s="49"/>
      <c r="K47" s="47"/>
      <c r="L47" s="47"/>
      <c r="M47" s="47"/>
      <c r="N47" s="49"/>
      <c r="O47" s="49">
        <f>O48</f>
        <v>0</v>
      </c>
      <c r="P47" s="42">
        <f t="shared" si="2"/>
        <v>0</v>
      </c>
    </row>
    <row r="48" spans="1:16" ht="16.5" hidden="1">
      <c r="A48" s="24"/>
      <c r="B48" s="48"/>
      <c r="C48" s="44"/>
      <c r="D48" s="51"/>
      <c r="E48" s="46"/>
      <c r="F48" s="46"/>
      <c r="G48" s="47"/>
      <c r="H48" s="47"/>
      <c r="I48" s="47"/>
      <c r="J48" s="49"/>
      <c r="K48" s="47"/>
      <c r="L48" s="47"/>
      <c r="M48" s="47"/>
      <c r="N48" s="47"/>
      <c r="O48" s="47"/>
      <c r="P48" s="42"/>
    </row>
    <row r="49" spans="1:16" s="17" customFormat="1" ht="16.5">
      <c r="A49" s="23"/>
      <c r="B49" s="70">
        <v>240000</v>
      </c>
      <c r="C49" s="71"/>
      <c r="D49" s="72" t="s">
        <v>110</v>
      </c>
      <c r="E49" s="73"/>
      <c r="F49" s="73"/>
      <c r="G49" s="73"/>
      <c r="H49" s="73"/>
      <c r="I49" s="73"/>
      <c r="J49" s="73">
        <f>J50</f>
        <v>221000</v>
      </c>
      <c r="K49" s="73">
        <f>K50</f>
        <v>20000</v>
      </c>
      <c r="L49" s="73">
        <f>L50</f>
        <v>0</v>
      </c>
      <c r="M49" s="73">
        <f>M50</f>
        <v>0</v>
      </c>
      <c r="N49" s="73">
        <f>N50</f>
        <v>201000</v>
      </c>
      <c r="O49" s="73"/>
      <c r="P49" s="76">
        <f t="shared" si="2"/>
        <v>221000</v>
      </c>
    </row>
    <row r="50" spans="1:16" ht="25.5">
      <c r="A50" s="24"/>
      <c r="B50" s="74">
        <v>240601</v>
      </c>
      <c r="C50" s="71" t="s">
        <v>202</v>
      </c>
      <c r="D50" s="75" t="s">
        <v>111</v>
      </c>
      <c r="E50" s="69"/>
      <c r="F50" s="69"/>
      <c r="G50" s="69"/>
      <c r="H50" s="69"/>
      <c r="I50" s="69"/>
      <c r="J50" s="68">
        <f>K50+N50</f>
        <v>221000</v>
      </c>
      <c r="K50" s="69">
        <v>20000</v>
      </c>
      <c r="L50" s="69"/>
      <c r="M50" s="69"/>
      <c r="N50" s="69">
        <f>62500+138500</f>
        <v>201000</v>
      </c>
      <c r="O50" s="69"/>
      <c r="P50" s="76">
        <f t="shared" si="2"/>
        <v>221000</v>
      </c>
    </row>
    <row r="51" spans="1:16" s="17" customFormat="1" ht="25.5">
      <c r="A51" s="23"/>
      <c r="B51" s="70">
        <v>250000</v>
      </c>
      <c r="C51" s="71"/>
      <c r="D51" s="72" t="s">
        <v>112</v>
      </c>
      <c r="E51" s="73">
        <f>E52+E53</f>
        <v>656346</v>
      </c>
      <c r="F51" s="73">
        <f aca="true" t="shared" si="9" ref="F51:O51">F52+F53</f>
        <v>656346</v>
      </c>
      <c r="G51" s="73">
        <f t="shared" si="9"/>
        <v>0</v>
      </c>
      <c r="H51" s="73">
        <f t="shared" si="9"/>
        <v>0</v>
      </c>
      <c r="I51" s="73">
        <f t="shared" si="9"/>
        <v>0</v>
      </c>
      <c r="J51" s="73">
        <f t="shared" si="9"/>
        <v>0</v>
      </c>
      <c r="K51" s="73">
        <f t="shared" si="9"/>
        <v>0</v>
      </c>
      <c r="L51" s="73">
        <f t="shared" si="9"/>
        <v>0</v>
      </c>
      <c r="M51" s="73">
        <f t="shared" si="9"/>
        <v>0</v>
      </c>
      <c r="N51" s="73">
        <f t="shared" si="9"/>
        <v>0</v>
      </c>
      <c r="O51" s="73">
        <f t="shared" si="9"/>
        <v>0</v>
      </c>
      <c r="P51" s="76">
        <f t="shared" si="2"/>
        <v>656346</v>
      </c>
    </row>
    <row r="52" spans="1:16" ht="17.25" thickBot="1">
      <c r="A52" s="24"/>
      <c r="B52" s="82">
        <v>250404</v>
      </c>
      <c r="C52" s="83" t="s">
        <v>203</v>
      </c>
      <c r="D52" s="84" t="s">
        <v>113</v>
      </c>
      <c r="E52" s="85">
        <v>656346</v>
      </c>
      <c r="F52" s="85">
        <v>656346</v>
      </c>
      <c r="G52" s="85"/>
      <c r="H52" s="85"/>
      <c r="I52" s="85"/>
      <c r="J52" s="94"/>
      <c r="K52" s="85"/>
      <c r="L52" s="85"/>
      <c r="M52" s="85"/>
      <c r="N52" s="85"/>
      <c r="O52" s="85"/>
      <c r="P52" s="95">
        <f t="shared" si="2"/>
        <v>656346</v>
      </c>
    </row>
    <row r="53" spans="1:16" ht="64.5" hidden="1" thickBot="1">
      <c r="A53" s="26"/>
      <c r="B53" s="52" t="s">
        <v>29</v>
      </c>
      <c r="C53" s="53" t="s">
        <v>198</v>
      </c>
      <c r="D53" s="54" t="s">
        <v>114</v>
      </c>
      <c r="E53" s="55"/>
      <c r="F53" s="55"/>
      <c r="G53" s="55"/>
      <c r="H53" s="55"/>
      <c r="I53" s="55"/>
      <c r="J53" s="56"/>
      <c r="K53" s="55"/>
      <c r="L53" s="55"/>
      <c r="M53" s="55"/>
      <c r="N53" s="55"/>
      <c r="O53" s="55"/>
      <c r="P53" s="57">
        <f t="shared" si="2"/>
        <v>0</v>
      </c>
    </row>
    <row r="54" spans="1:16" s="17" customFormat="1" ht="25.5">
      <c r="A54" s="27"/>
      <c r="B54" s="70" t="s">
        <v>30</v>
      </c>
      <c r="C54" s="71"/>
      <c r="D54" s="72" t="s">
        <v>115</v>
      </c>
      <c r="E54" s="73">
        <f>E55+E57+E66</f>
        <v>102045431</v>
      </c>
      <c r="F54" s="73">
        <f aca="true" t="shared" si="10" ref="F54:O54">F55+F57+F66</f>
        <v>102045431</v>
      </c>
      <c r="G54" s="73">
        <f t="shared" si="10"/>
        <v>76541597</v>
      </c>
      <c r="H54" s="73">
        <f t="shared" si="10"/>
        <v>20248653</v>
      </c>
      <c r="I54" s="73">
        <f t="shared" si="10"/>
        <v>0</v>
      </c>
      <c r="J54" s="73">
        <f t="shared" si="10"/>
        <v>3127495</v>
      </c>
      <c r="K54" s="73">
        <f t="shared" si="10"/>
        <v>3127495</v>
      </c>
      <c r="L54" s="73">
        <f t="shared" si="10"/>
        <v>540498</v>
      </c>
      <c r="M54" s="73">
        <f t="shared" si="10"/>
        <v>6241</v>
      </c>
      <c r="N54" s="73">
        <f t="shared" si="10"/>
        <v>0</v>
      </c>
      <c r="O54" s="73">
        <f t="shared" si="10"/>
        <v>0</v>
      </c>
      <c r="P54" s="76">
        <f t="shared" si="2"/>
        <v>105172926</v>
      </c>
    </row>
    <row r="55" spans="1:16" s="17" customFormat="1" ht="16.5">
      <c r="A55" s="23"/>
      <c r="B55" s="70" t="s">
        <v>14</v>
      </c>
      <c r="C55" s="71"/>
      <c r="D55" s="72" t="s">
        <v>83</v>
      </c>
      <c r="E55" s="73">
        <f>E56</f>
        <v>618856</v>
      </c>
      <c r="F55" s="73">
        <f aca="true" t="shared" si="11" ref="F55:O55">F56</f>
        <v>618856</v>
      </c>
      <c r="G55" s="73">
        <f t="shared" si="11"/>
        <v>514272</v>
      </c>
      <c r="H55" s="73">
        <f t="shared" si="11"/>
        <v>101854</v>
      </c>
      <c r="I55" s="73">
        <f t="shared" si="11"/>
        <v>0</v>
      </c>
      <c r="J55" s="73">
        <f t="shared" si="11"/>
        <v>0</v>
      </c>
      <c r="K55" s="73">
        <f t="shared" si="11"/>
        <v>0</v>
      </c>
      <c r="L55" s="73">
        <f t="shared" si="11"/>
        <v>0</v>
      </c>
      <c r="M55" s="73">
        <f t="shared" si="11"/>
        <v>0</v>
      </c>
      <c r="N55" s="73">
        <f t="shared" si="11"/>
        <v>0</v>
      </c>
      <c r="O55" s="73">
        <f t="shared" si="11"/>
        <v>0</v>
      </c>
      <c r="P55" s="76">
        <f t="shared" si="2"/>
        <v>618856</v>
      </c>
    </row>
    <row r="56" spans="1:16" ht="16.5">
      <c r="A56" s="24"/>
      <c r="B56" s="74" t="s">
        <v>10</v>
      </c>
      <c r="C56" s="71" t="s">
        <v>188</v>
      </c>
      <c r="D56" s="75" t="s">
        <v>84</v>
      </c>
      <c r="E56" s="69">
        <f>F56</f>
        <v>618856</v>
      </c>
      <c r="F56" s="69">
        <f>G56+H56+2250+480</f>
        <v>618856</v>
      </c>
      <c r="G56" s="69">
        <f>421534+92738</f>
        <v>514272</v>
      </c>
      <c r="H56" s="69">
        <f>97650+419+3785</f>
        <v>101854</v>
      </c>
      <c r="I56" s="69"/>
      <c r="J56" s="68"/>
      <c r="K56" s="69"/>
      <c r="L56" s="69"/>
      <c r="M56" s="69"/>
      <c r="N56" s="69"/>
      <c r="O56" s="69"/>
      <c r="P56" s="76">
        <f t="shared" si="2"/>
        <v>618856</v>
      </c>
    </row>
    <row r="57" spans="1:16" s="17" customFormat="1" ht="16.5">
      <c r="A57" s="23"/>
      <c r="B57" s="70" t="s">
        <v>31</v>
      </c>
      <c r="C57" s="71"/>
      <c r="D57" s="72" t="s">
        <v>116</v>
      </c>
      <c r="E57" s="73">
        <f>E58+E59+E62+E63+E64+E65</f>
        <v>100052087</v>
      </c>
      <c r="F57" s="73">
        <f aca="true" t="shared" si="12" ref="F57:O57">F58+F59+F62+F63+F64+F65</f>
        <v>100052087</v>
      </c>
      <c r="G57" s="73">
        <f t="shared" si="12"/>
        <v>74985448</v>
      </c>
      <c r="H57" s="73">
        <f t="shared" si="12"/>
        <v>19829098</v>
      </c>
      <c r="I57" s="73">
        <f t="shared" si="12"/>
        <v>0</v>
      </c>
      <c r="J57" s="73">
        <f t="shared" si="12"/>
        <v>3127495</v>
      </c>
      <c r="K57" s="73">
        <f t="shared" si="12"/>
        <v>3127495</v>
      </c>
      <c r="L57" s="73">
        <f t="shared" si="12"/>
        <v>540498</v>
      </c>
      <c r="M57" s="73">
        <f t="shared" si="12"/>
        <v>6241</v>
      </c>
      <c r="N57" s="73">
        <f t="shared" si="12"/>
        <v>0</v>
      </c>
      <c r="O57" s="73">
        <f t="shared" si="12"/>
        <v>0</v>
      </c>
      <c r="P57" s="76">
        <f t="shared" si="2"/>
        <v>103179582</v>
      </c>
    </row>
    <row r="58" spans="1:16" ht="16.5">
      <c r="A58" s="24"/>
      <c r="B58" s="74" t="s">
        <v>32</v>
      </c>
      <c r="C58" s="71" t="s">
        <v>204</v>
      </c>
      <c r="D58" s="75" t="s">
        <v>117</v>
      </c>
      <c r="E58" s="69">
        <f>F58</f>
        <v>32361497</v>
      </c>
      <c r="F58" s="69">
        <v>32361497</v>
      </c>
      <c r="G58" s="69">
        <f>18632379+4099123</f>
        <v>22731502</v>
      </c>
      <c r="H58" s="69">
        <v>7655970</v>
      </c>
      <c r="I58" s="69"/>
      <c r="J58" s="88">
        <f>K58+N58</f>
        <v>1709290</v>
      </c>
      <c r="K58" s="69">
        <v>1709290</v>
      </c>
      <c r="L58" s="69"/>
      <c r="M58" s="69"/>
      <c r="N58" s="69"/>
      <c r="O58" s="69"/>
      <c r="P58" s="76">
        <f t="shared" si="2"/>
        <v>34070787</v>
      </c>
    </row>
    <row r="59" spans="1:16" ht="51">
      <c r="A59" s="24"/>
      <c r="B59" s="74" t="s">
        <v>33</v>
      </c>
      <c r="C59" s="71" t="s">
        <v>205</v>
      </c>
      <c r="D59" s="75" t="s">
        <v>118</v>
      </c>
      <c r="E59" s="69">
        <f>E60+E61</f>
        <v>62589786</v>
      </c>
      <c r="F59" s="69">
        <f aca="true" t="shared" si="13" ref="F59:O59">F60+F61</f>
        <v>62589786</v>
      </c>
      <c r="G59" s="69">
        <f t="shared" si="13"/>
        <v>47992068</v>
      </c>
      <c r="H59" s="69">
        <f t="shared" si="13"/>
        <v>11526249</v>
      </c>
      <c r="I59" s="69">
        <f t="shared" si="13"/>
        <v>0</v>
      </c>
      <c r="J59" s="88">
        <f aca="true" t="shared" si="14" ref="J59:J67">K59+N59</f>
        <v>1418205</v>
      </c>
      <c r="K59" s="69">
        <v>1418205</v>
      </c>
      <c r="L59" s="69">
        <v>540498</v>
      </c>
      <c r="M59" s="69">
        <v>6241</v>
      </c>
      <c r="N59" s="69">
        <f t="shared" si="13"/>
        <v>0</v>
      </c>
      <c r="O59" s="69">
        <f t="shared" si="13"/>
        <v>0</v>
      </c>
      <c r="P59" s="76">
        <f t="shared" si="2"/>
        <v>64007991</v>
      </c>
    </row>
    <row r="60" spans="1:16" ht="25.5">
      <c r="A60" s="24"/>
      <c r="B60" s="74"/>
      <c r="C60" s="71"/>
      <c r="D60" s="75" t="s">
        <v>227</v>
      </c>
      <c r="E60" s="69">
        <f>F60</f>
        <v>51633100</v>
      </c>
      <c r="F60" s="69">
        <v>51633100</v>
      </c>
      <c r="G60" s="69">
        <v>42480930</v>
      </c>
      <c r="H60" s="69">
        <v>8541920</v>
      </c>
      <c r="I60" s="69"/>
      <c r="J60" s="68">
        <f t="shared" si="14"/>
        <v>0</v>
      </c>
      <c r="K60" s="69"/>
      <c r="L60" s="69"/>
      <c r="M60" s="69"/>
      <c r="N60" s="69"/>
      <c r="O60" s="69"/>
      <c r="P60" s="76">
        <f t="shared" si="2"/>
        <v>51633100</v>
      </c>
    </row>
    <row r="61" spans="1:16" ht="25.5">
      <c r="A61" s="24"/>
      <c r="B61" s="74"/>
      <c r="C61" s="71"/>
      <c r="D61" s="75" t="s">
        <v>228</v>
      </c>
      <c r="E61" s="69">
        <f>F61</f>
        <v>10956686</v>
      </c>
      <c r="F61" s="69">
        <v>10956686</v>
      </c>
      <c r="G61" s="69">
        <v>5511138</v>
      </c>
      <c r="H61" s="69">
        <v>2984329</v>
      </c>
      <c r="I61" s="69"/>
      <c r="J61" s="68">
        <f t="shared" si="14"/>
        <v>0</v>
      </c>
      <c r="K61" s="69"/>
      <c r="L61" s="69"/>
      <c r="M61" s="69"/>
      <c r="N61" s="69"/>
      <c r="O61" s="69"/>
      <c r="P61" s="76">
        <f t="shared" si="2"/>
        <v>10956686</v>
      </c>
    </row>
    <row r="62" spans="1:16" ht="25.5">
      <c r="A62" s="24"/>
      <c r="B62" s="74" t="s">
        <v>34</v>
      </c>
      <c r="C62" s="71" t="s">
        <v>206</v>
      </c>
      <c r="D62" s="75" t="s">
        <v>119</v>
      </c>
      <c r="E62" s="69">
        <f>F62</f>
        <v>3090098</v>
      </c>
      <c r="F62" s="69">
        <v>3090098</v>
      </c>
      <c r="G62" s="69">
        <v>2564194</v>
      </c>
      <c r="H62" s="69">
        <v>482768</v>
      </c>
      <c r="I62" s="69"/>
      <c r="J62" s="68">
        <f t="shared" si="14"/>
        <v>0</v>
      </c>
      <c r="K62" s="69"/>
      <c r="L62" s="69"/>
      <c r="M62" s="69"/>
      <c r="N62" s="69"/>
      <c r="O62" s="69"/>
      <c r="P62" s="76">
        <f t="shared" si="2"/>
        <v>3090098</v>
      </c>
    </row>
    <row r="63" spans="1:16" ht="25.5">
      <c r="A63" s="24"/>
      <c r="B63" s="74" t="s">
        <v>35</v>
      </c>
      <c r="C63" s="71" t="s">
        <v>207</v>
      </c>
      <c r="D63" s="75" t="s">
        <v>120</v>
      </c>
      <c r="E63" s="69">
        <f>F63</f>
        <v>900925</v>
      </c>
      <c r="F63" s="69">
        <v>900925</v>
      </c>
      <c r="G63" s="69">
        <v>783292</v>
      </c>
      <c r="H63" s="69">
        <v>63447</v>
      </c>
      <c r="I63" s="69"/>
      <c r="J63" s="68">
        <f t="shared" si="14"/>
        <v>0</v>
      </c>
      <c r="K63" s="69"/>
      <c r="L63" s="69"/>
      <c r="M63" s="69"/>
      <c r="N63" s="69"/>
      <c r="O63" s="69"/>
      <c r="P63" s="76">
        <f t="shared" si="2"/>
        <v>900925</v>
      </c>
    </row>
    <row r="64" spans="1:16" ht="25.5">
      <c r="A64" s="24"/>
      <c r="B64" s="74" t="s">
        <v>36</v>
      </c>
      <c r="C64" s="71" t="s">
        <v>207</v>
      </c>
      <c r="D64" s="75" t="s">
        <v>121</v>
      </c>
      <c r="E64" s="69">
        <f>F64</f>
        <v>1059101</v>
      </c>
      <c r="F64" s="69">
        <v>1059101</v>
      </c>
      <c r="G64" s="69">
        <v>914392</v>
      </c>
      <c r="H64" s="69">
        <v>100664</v>
      </c>
      <c r="I64" s="69"/>
      <c r="J64" s="68">
        <f t="shared" si="14"/>
        <v>0</v>
      </c>
      <c r="K64" s="69"/>
      <c r="L64" s="69"/>
      <c r="M64" s="69"/>
      <c r="N64" s="69"/>
      <c r="O64" s="69"/>
      <c r="P64" s="76">
        <f t="shared" si="2"/>
        <v>1059101</v>
      </c>
    </row>
    <row r="65" spans="1:16" ht="38.25">
      <c r="A65" s="24"/>
      <c r="B65" s="74" t="s">
        <v>37</v>
      </c>
      <c r="C65" s="71" t="s">
        <v>207</v>
      </c>
      <c r="D65" s="75" t="s">
        <v>122</v>
      </c>
      <c r="E65" s="69">
        <v>50680</v>
      </c>
      <c r="F65" s="69">
        <v>50680</v>
      </c>
      <c r="G65" s="69"/>
      <c r="H65" s="69"/>
      <c r="I65" s="69"/>
      <c r="J65" s="68">
        <f t="shared" si="14"/>
        <v>0</v>
      </c>
      <c r="K65" s="69"/>
      <c r="L65" s="69"/>
      <c r="M65" s="69"/>
      <c r="N65" s="69"/>
      <c r="O65" s="69"/>
      <c r="P65" s="76">
        <f t="shared" si="2"/>
        <v>50680</v>
      </c>
    </row>
    <row r="66" spans="1:16" s="17" customFormat="1" ht="16.5">
      <c r="A66" s="23"/>
      <c r="B66" s="70">
        <v>130000</v>
      </c>
      <c r="C66" s="71"/>
      <c r="D66" s="72" t="s">
        <v>123</v>
      </c>
      <c r="E66" s="73">
        <f>E67</f>
        <v>1374488</v>
      </c>
      <c r="F66" s="73">
        <f aca="true" t="shared" si="15" ref="F66:O66">F67</f>
        <v>1374488</v>
      </c>
      <c r="G66" s="73">
        <f t="shared" si="15"/>
        <v>1041877</v>
      </c>
      <c r="H66" s="73">
        <f t="shared" si="15"/>
        <v>317701</v>
      </c>
      <c r="I66" s="73">
        <f t="shared" si="15"/>
        <v>0</v>
      </c>
      <c r="J66" s="68">
        <f t="shared" si="14"/>
        <v>0</v>
      </c>
      <c r="K66" s="73">
        <f t="shared" si="15"/>
        <v>0</v>
      </c>
      <c r="L66" s="73">
        <f t="shared" si="15"/>
        <v>0</v>
      </c>
      <c r="M66" s="73">
        <f t="shared" si="15"/>
        <v>0</v>
      </c>
      <c r="N66" s="73">
        <f t="shared" si="15"/>
        <v>0</v>
      </c>
      <c r="O66" s="73">
        <f t="shared" si="15"/>
        <v>0</v>
      </c>
      <c r="P66" s="76">
        <f t="shared" si="2"/>
        <v>1374488</v>
      </c>
    </row>
    <row r="67" spans="1:16" ht="26.25" thickBot="1">
      <c r="A67" s="24"/>
      <c r="B67" s="82">
        <v>130107</v>
      </c>
      <c r="C67" s="83" t="s">
        <v>208</v>
      </c>
      <c r="D67" s="84" t="s">
        <v>124</v>
      </c>
      <c r="E67" s="85">
        <f>F67</f>
        <v>1374488</v>
      </c>
      <c r="F67" s="85">
        <v>1374488</v>
      </c>
      <c r="G67" s="85">
        <v>1041877</v>
      </c>
      <c r="H67" s="85">
        <v>317701</v>
      </c>
      <c r="I67" s="85"/>
      <c r="J67" s="94">
        <f t="shared" si="14"/>
        <v>0</v>
      </c>
      <c r="K67" s="85"/>
      <c r="L67" s="85"/>
      <c r="M67" s="85"/>
      <c r="N67" s="85"/>
      <c r="O67" s="85"/>
      <c r="P67" s="95">
        <f t="shared" si="2"/>
        <v>1374488</v>
      </c>
    </row>
    <row r="68" spans="1:16" s="17" customFormat="1" ht="16.5" hidden="1">
      <c r="A68" s="23"/>
      <c r="B68" s="58">
        <v>150000</v>
      </c>
      <c r="C68" s="53"/>
      <c r="D68" s="59" t="s">
        <v>101</v>
      </c>
      <c r="E68" s="60"/>
      <c r="F68" s="60"/>
      <c r="G68" s="60"/>
      <c r="H68" s="60"/>
      <c r="I68" s="60"/>
      <c r="J68" s="60"/>
      <c r="K68" s="60"/>
      <c r="L68" s="60"/>
      <c r="M68" s="60"/>
      <c r="N68" s="60"/>
      <c r="O68" s="60"/>
      <c r="P68" s="57">
        <f t="shared" si="2"/>
        <v>0</v>
      </c>
    </row>
    <row r="69" spans="1:16" ht="16.5" hidden="1">
      <c r="A69" s="24"/>
      <c r="B69" s="43">
        <v>150101</v>
      </c>
      <c r="C69" s="44" t="s">
        <v>198</v>
      </c>
      <c r="D69" s="45" t="s">
        <v>102</v>
      </c>
      <c r="E69" s="47"/>
      <c r="F69" s="47"/>
      <c r="G69" s="47"/>
      <c r="H69" s="47"/>
      <c r="I69" s="47"/>
      <c r="J69" s="49"/>
      <c r="K69" s="47"/>
      <c r="L69" s="47"/>
      <c r="M69" s="47"/>
      <c r="N69" s="47"/>
      <c r="O69" s="47"/>
      <c r="P69" s="42">
        <f t="shared" si="2"/>
        <v>0</v>
      </c>
    </row>
    <row r="70" spans="1:16" s="17" customFormat="1" ht="38.25">
      <c r="A70" s="23"/>
      <c r="B70" s="70" t="s">
        <v>38</v>
      </c>
      <c r="C70" s="71"/>
      <c r="D70" s="72" t="s">
        <v>125</v>
      </c>
      <c r="E70" s="73">
        <f>E71+E73+E76</f>
        <v>3506999</v>
      </c>
      <c r="F70" s="73">
        <f aca="true" t="shared" si="16" ref="F70:O70">F71+F73+F76</f>
        <v>3506999</v>
      </c>
      <c r="G70" s="73">
        <f t="shared" si="16"/>
        <v>945079</v>
      </c>
      <c r="H70" s="73">
        <f t="shared" si="16"/>
        <v>45237</v>
      </c>
      <c r="I70" s="73">
        <f t="shared" si="16"/>
        <v>0</v>
      </c>
      <c r="J70" s="73">
        <f t="shared" si="16"/>
        <v>0</v>
      </c>
      <c r="K70" s="73">
        <f t="shared" si="16"/>
        <v>0</v>
      </c>
      <c r="L70" s="73">
        <f t="shared" si="16"/>
        <v>0</v>
      </c>
      <c r="M70" s="73">
        <f t="shared" si="16"/>
        <v>0</v>
      </c>
      <c r="N70" s="73">
        <f t="shared" si="16"/>
        <v>0</v>
      </c>
      <c r="O70" s="73">
        <f t="shared" si="16"/>
        <v>0</v>
      </c>
      <c r="P70" s="76">
        <f t="shared" si="2"/>
        <v>3506999</v>
      </c>
    </row>
    <row r="71" spans="1:16" s="17" customFormat="1" ht="16.5">
      <c r="A71" s="23"/>
      <c r="B71" s="70" t="s">
        <v>14</v>
      </c>
      <c r="C71" s="71"/>
      <c r="D71" s="72" t="s">
        <v>83</v>
      </c>
      <c r="E71" s="73">
        <f>E72</f>
        <v>277035</v>
      </c>
      <c r="F71" s="73">
        <f aca="true" t="shared" si="17" ref="F71:O71">F72</f>
        <v>277035</v>
      </c>
      <c r="G71" s="73">
        <f t="shared" si="17"/>
        <v>259730</v>
      </c>
      <c r="H71" s="73">
        <f t="shared" si="17"/>
        <v>14566</v>
      </c>
      <c r="I71" s="73">
        <f t="shared" si="17"/>
        <v>0</v>
      </c>
      <c r="J71" s="73">
        <f t="shared" si="17"/>
        <v>0</v>
      </c>
      <c r="K71" s="73">
        <f t="shared" si="17"/>
        <v>0</v>
      </c>
      <c r="L71" s="73">
        <f t="shared" si="17"/>
        <v>0</v>
      </c>
      <c r="M71" s="73">
        <f t="shared" si="17"/>
        <v>0</v>
      </c>
      <c r="N71" s="73">
        <f t="shared" si="17"/>
        <v>0</v>
      </c>
      <c r="O71" s="73">
        <f t="shared" si="17"/>
        <v>0</v>
      </c>
      <c r="P71" s="76">
        <f t="shared" si="2"/>
        <v>277035</v>
      </c>
    </row>
    <row r="72" spans="1:16" ht="16.5">
      <c r="A72" s="24"/>
      <c r="B72" s="74" t="s">
        <v>10</v>
      </c>
      <c r="C72" s="71" t="s">
        <v>188</v>
      </c>
      <c r="D72" s="75" t="s">
        <v>84</v>
      </c>
      <c r="E72" s="69">
        <f>F72</f>
        <v>277035</v>
      </c>
      <c r="F72" s="69">
        <f>G72+H72+2739</f>
        <v>277035</v>
      </c>
      <c r="G72" s="69">
        <f>212893+46837</f>
        <v>259730</v>
      </c>
      <c r="H72" s="69">
        <v>14566</v>
      </c>
      <c r="I72" s="69"/>
      <c r="J72" s="68"/>
      <c r="K72" s="69"/>
      <c r="L72" s="69"/>
      <c r="M72" s="69"/>
      <c r="N72" s="69"/>
      <c r="O72" s="69"/>
      <c r="P72" s="76">
        <f t="shared" si="2"/>
        <v>277035</v>
      </c>
    </row>
    <row r="73" spans="1:16" s="17" customFormat="1" ht="25.5">
      <c r="A73" s="23"/>
      <c r="B73" s="70" t="s">
        <v>19</v>
      </c>
      <c r="C73" s="71"/>
      <c r="D73" s="72" t="s">
        <v>89</v>
      </c>
      <c r="E73" s="73">
        <f>E74+E75</f>
        <v>204200</v>
      </c>
      <c r="F73" s="73">
        <f aca="true" t="shared" si="18" ref="F73:O73">F74+F75</f>
        <v>204200</v>
      </c>
      <c r="G73" s="73">
        <f t="shared" si="18"/>
        <v>0</v>
      </c>
      <c r="H73" s="73">
        <f t="shared" si="18"/>
        <v>0</v>
      </c>
      <c r="I73" s="73">
        <f t="shared" si="18"/>
        <v>0</v>
      </c>
      <c r="J73" s="73">
        <f t="shared" si="18"/>
        <v>0</v>
      </c>
      <c r="K73" s="73">
        <f t="shared" si="18"/>
        <v>0</v>
      </c>
      <c r="L73" s="73">
        <f t="shared" si="18"/>
        <v>0</v>
      </c>
      <c r="M73" s="73">
        <f t="shared" si="18"/>
        <v>0</v>
      </c>
      <c r="N73" s="73">
        <f t="shared" si="18"/>
        <v>0</v>
      </c>
      <c r="O73" s="73">
        <f t="shared" si="18"/>
        <v>0</v>
      </c>
      <c r="P73" s="76">
        <f t="shared" si="2"/>
        <v>204200</v>
      </c>
    </row>
    <row r="74" spans="1:16" ht="25.5">
      <c r="A74" s="24"/>
      <c r="B74" s="74" t="s">
        <v>39</v>
      </c>
      <c r="C74" s="71" t="s">
        <v>194</v>
      </c>
      <c r="D74" s="75" t="s">
        <v>126</v>
      </c>
      <c r="E74" s="69">
        <v>17100</v>
      </c>
      <c r="F74" s="69">
        <v>17100</v>
      </c>
      <c r="G74" s="69"/>
      <c r="H74" s="69"/>
      <c r="I74" s="69"/>
      <c r="J74" s="68"/>
      <c r="K74" s="69"/>
      <c r="L74" s="69"/>
      <c r="M74" s="69"/>
      <c r="N74" s="69"/>
      <c r="O74" s="69"/>
      <c r="P74" s="76">
        <f t="shared" si="2"/>
        <v>17100</v>
      </c>
    </row>
    <row r="75" spans="1:16" ht="76.5">
      <c r="A75" s="24"/>
      <c r="B75" s="86" t="s">
        <v>40</v>
      </c>
      <c r="C75" s="71" t="s">
        <v>194</v>
      </c>
      <c r="D75" s="87" t="s">
        <v>127</v>
      </c>
      <c r="E75" s="69">
        <v>187100</v>
      </c>
      <c r="F75" s="69">
        <v>187100</v>
      </c>
      <c r="G75" s="69"/>
      <c r="H75" s="69"/>
      <c r="I75" s="69"/>
      <c r="J75" s="68"/>
      <c r="K75" s="69"/>
      <c r="L75" s="69"/>
      <c r="M75" s="69"/>
      <c r="N75" s="69"/>
      <c r="O75" s="69"/>
      <c r="P75" s="76">
        <f t="shared" si="2"/>
        <v>187100</v>
      </c>
    </row>
    <row r="76" spans="1:16" s="17" customFormat="1" ht="16.5">
      <c r="A76" s="23"/>
      <c r="B76" s="70">
        <v>130000</v>
      </c>
      <c r="C76" s="71"/>
      <c r="D76" s="72" t="s">
        <v>123</v>
      </c>
      <c r="E76" s="73">
        <f>E77+E78+E79+E80+E81</f>
        <v>3025764</v>
      </c>
      <c r="F76" s="73">
        <f aca="true" t="shared" si="19" ref="F76:O76">F77+F78+F79+F80+F81</f>
        <v>3025764</v>
      </c>
      <c r="G76" s="73">
        <f t="shared" si="19"/>
        <v>685349</v>
      </c>
      <c r="H76" s="73">
        <f t="shared" si="19"/>
        <v>30671</v>
      </c>
      <c r="I76" s="73">
        <f t="shared" si="19"/>
        <v>0</v>
      </c>
      <c r="J76" s="73">
        <f t="shared" si="19"/>
        <v>0</v>
      </c>
      <c r="K76" s="73">
        <f t="shared" si="19"/>
        <v>0</v>
      </c>
      <c r="L76" s="73">
        <f t="shared" si="19"/>
        <v>0</v>
      </c>
      <c r="M76" s="73">
        <f t="shared" si="19"/>
        <v>0</v>
      </c>
      <c r="N76" s="73">
        <f t="shared" si="19"/>
        <v>0</v>
      </c>
      <c r="O76" s="73">
        <f t="shared" si="19"/>
        <v>0</v>
      </c>
      <c r="P76" s="76">
        <f t="shared" si="2"/>
        <v>3025764</v>
      </c>
    </row>
    <row r="77" spans="1:16" ht="25.5">
      <c r="A77" s="24"/>
      <c r="B77" s="74">
        <v>130102</v>
      </c>
      <c r="C77" s="71" t="s">
        <v>208</v>
      </c>
      <c r="D77" s="75" t="s">
        <v>128</v>
      </c>
      <c r="E77" s="69">
        <v>232910</v>
      </c>
      <c r="F77" s="69">
        <v>232910</v>
      </c>
      <c r="G77" s="69"/>
      <c r="H77" s="69"/>
      <c r="I77" s="69"/>
      <c r="J77" s="68"/>
      <c r="K77" s="69"/>
      <c r="L77" s="69"/>
      <c r="M77" s="69"/>
      <c r="N77" s="69"/>
      <c r="O77" s="69"/>
      <c r="P77" s="76">
        <f t="shared" si="2"/>
        <v>232910</v>
      </c>
    </row>
    <row r="78" spans="1:16" ht="25.5">
      <c r="A78" s="24"/>
      <c r="B78" s="74">
        <v>130107</v>
      </c>
      <c r="C78" s="71" t="s">
        <v>208</v>
      </c>
      <c r="D78" s="75" t="s">
        <v>124</v>
      </c>
      <c r="E78" s="69">
        <f>F78</f>
        <v>636620</v>
      </c>
      <c r="F78" s="69">
        <f>G78+H78+1020</f>
        <v>636620</v>
      </c>
      <c r="G78" s="69">
        <f>498566+109685</f>
        <v>608251</v>
      </c>
      <c r="H78" s="69">
        <f>3479+23870</f>
        <v>27349</v>
      </c>
      <c r="I78" s="69"/>
      <c r="J78" s="68"/>
      <c r="K78" s="69"/>
      <c r="L78" s="69"/>
      <c r="M78" s="69"/>
      <c r="N78" s="69"/>
      <c r="O78" s="69"/>
      <c r="P78" s="76">
        <f t="shared" si="2"/>
        <v>636620</v>
      </c>
    </row>
    <row r="79" spans="1:16" ht="16.5">
      <c r="A79" s="24"/>
      <c r="B79" s="74">
        <v>130110</v>
      </c>
      <c r="C79" s="71" t="s">
        <v>208</v>
      </c>
      <c r="D79" s="75" t="s">
        <v>129</v>
      </c>
      <c r="E79" s="69">
        <f>F79</f>
        <v>1337000</v>
      </c>
      <c r="F79" s="69">
        <v>1337000</v>
      </c>
      <c r="G79" s="69"/>
      <c r="H79" s="69"/>
      <c r="I79" s="69"/>
      <c r="J79" s="68"/>
      <c r="K79" s="69"/>
      <c r="L79" s="69"/>
      <c r="M79" s="69"/>
      <c r="N79" s="69"/>
      <c r="O79" s="69"/>
      <c r="P79" s="76">
        <f t="shared" si="2"/>
        <v>1337000</v>
      </c>
    </row>
    <row r="80" spans="1:16" ht="16.5">
      <c r="A80" s="24"/>
      <c r="B80" s="74">
        <v>130112</v>
      </c>
      <c r="C80" s="71" t="s">
        <v>208</v>
      </c>
      <c r="D80" s="75" t="s">
        <v>130</v>
      </c>
      <c r="E80" s="69">
        <f>F80</f>
        <v>737470</v>
      </c>
      <c r="F80" s="69">
        <v>737470</v>
      </c>
      <c r="G80" s="69"/>
      <c r="H80" s="69"/>
      <c r="I80" s="69"/>
      <c r="J80" s="68"/>
      <c r="K80" s="69"/>
      <c r="L80" s="69"/>
      <c r="M80" s="69"/>
      <c r="N80" s="69"/>
      <c r="O80" s="69"/>
      <c r="P80" s="76">
        <f t="shared" si="2"/>
        <v>737470</v>
      </c>
    </row>
    <row r="81" spans="1:16" ht="17.25" thickBot="1">
      <c r="A81" s="24"/>
      <c r="B81" s="82">
        <v>130113</v>
      </c>
      <c r="C81" s="83" t="s">
        <v>208</v>
      </c>
      <c r="D81" s="84" t="s">
        <v>131</v>
      </c>
      <c r="E81" s="85">
        <f>F81</f>
        <v>81764</v>
      </c>
      <c r="F81" s="85">
        <f>G81+H81+1344</f>
        <v>81764</v>
      </c>
      <c r="G81" s="85">
        <f>63195+13903</f>
        <v>77098</v>
      </c>
      <c r="H81" s="85">
        <v>3322</v>
      </c>
      <c r="I81" s="85"/>
      <c r="J81" s="94"/>
      <c r="K81" s="85"/>
      <c r="L81" s="85"/>
      <c r="M81" s="85"/>
      <c r="N81" s="85"/>
      <c r="O81" s="85"/>
      <c r="P81" s="95">
        <f t="shared" si="2"/>
        <v>81764</v>
      </c>
    </row>
    <row r="82" spans="1:16" s="17" customFormat="1" ht="25.5">
      <c r="A82" s="23"/>
      <c r="B82" s="89" t="s">
        <v>41</v>
      </c>
      <c r="C82" s="126"/>
      <c r="D82" s="91" t="s">
        <v>132</v>
      </c>
      <c r="E82" s="92">
        <f>E83+E87+E126</f>
        <v>138836148</v>
      </c>
      <c r="F82" s="92">
        <f aca="true" t="shared" si="20" ref="F82:O82">F83+F87+F126</f>
        <v>138836148</v>
      </c>
      <c r="G82" s="92">
        <f t="shared" si="20"/>
        <v>5762615</v>
      </c>
      <c r="H82" s="92">
        <f t="shared" si="20"/>
        <v>425665</v>
      </c>
      <c r="I82" s="92">
        <f t="shared" si="20"/>
        <v>0</v>
      </c>
      <c r="J82" s="92">
        <f t="shared" si="20"/>
        <v>32175</v>
      </c>
      <c r="K82" s="92">
        <f t="shared" si="20"/>
        <v>32175</v>
      </c>
      <c r="L82" s="92">
        <f t="shared" si="20"/>
        <v>0</v>
      </c>
      <c r="M82" s="92">
        <f t="shared" si="20"/>
        <v>3028</v>
      </c>
      <c r="N82" s="92">
        <f t="shared" si="20"/>
        <v>0</v>
      </c>
      <c r="O82" s="92">
        <f t="shared" si="20"/>
        <v>0</v>
      </c>
      <c r="P82" s="93">
        <f>P83+P85+P87+P123+P126</f>
        <v>141221888</v>
      </c>
    </row>
    <row r="83" spans="1:16" s="17" customFormat="1" ht="16.5">
      <c r="A83" s="23"/>
      <c r="B83" s="70" t="s">
        <v>14</v>
      </c>
      <c r="C83" s="71"/>
      <c r="D83" s="72" t="s">
        <v>83</v>
      </c>
      <c r="E83" s="73">
        <f>E84</f>
        <v>3634965</v>
      </c>
      <c r="F83" s="73">
        <f aca="true" t="shared" si="21" ref="F83:O83">F84</f>
        <v>3634965</v>
      </c>
      <c r="G83" s="73">
        <f t="shared" si="21"/>
        <v>3332657</v>
      </c>
      <c r="H83" s="73">
        <f t="shared" si="21"/>
        <v>203813</v>
      </c>
      <c r="I83" s="73">
        <f t="shared" si="21"/>
        <v>0</v>
      </c>
      <c r="J83" s="73">
        <f t="shared" si="21"/>
        <v>0</v>
      </c>
      <c r="K83" s="73">
        <f t="shared" si="21"/>
        <v>0</v>
      </c>
      <c r="L83" s="73">
        <f t="shared" si="21"/>
        <v>0</v>
      </c>
      <c r="M83" s="73">
        <f t="shared" si="21"/>
        <v>0</v>
      </c>
      <c r="N83" s="73">
        <f t="shared" si="21"/>
        <v>0</v>
      </c>
      <c r="O83" s="73">
        <f t="shared" si="21"/>
        <v>0</v>
      </c>
      <c r="P83" s="76">
        <f t="shared" si="2"/>
        <v>3634965</v>
      </c>
    </row>
    <row r="84" spans="1:16" ht="16.5">
      <c r="A84" s="24"/>
      <c r="B84" s="74" t="s">
        <v>10</v>
      </c>
      <c r="C84" s="71" t="s">
        <v>188</v>
      </c>
      <c r="D84" s="75" t="s">
        <v>84</v>
      </c>
      <c r="E84" s="69">
        <f>F84</f>
        <v>3634965</v>
      </c>
      <c r="F84" s="69">
        <f>G84+H84+73744+22509+1792+450</f>
        <v>3634965</v>
      </c>
      <c r="G84" s="69">
        <f>2731686+600971</f>
        <v>3332657</v>
      </c>
      <c r="H84" s="69">
        <v>203813</v>
      </c>
      <c r="I84" s="69"/>
      <c r="J84" s="68"/>
      <c r="K84" s="69"/>
      <c r="L84" s="69"/>
      <c r="M84" s="69"/>
      <c r="N84" s="69"/>
      <c r="O84" s="69"/>
      <c r="P84" s="76">
        <f t="shared" si="2"/>
        <v>3634965</v>
      </c>
    </row>
    <row r="85" spans="1:16" s="17" customFormat="1" ht="16.5">
      <c r="A85" s="23"/>
      <c r="B85" s="70" t="s">
        <v>31</v>
      </c>
      <c r="C85" s="71"/>
      <c r="D85" s="72" t="s">
        <v>116</v>
      </c>
      <c r="E85" s="73">
        <f>E86</f>
        <v>289700</v>
      </c>
      <c r="F85" s="73">
        <f>F86</f>
        <v>289700</v>
      </c>
      <c r="G85" s="73"/>
      <c r="H85" s="73"/>
      <c r="I85" s="73"/>
      <c r="J85" s="73"/>
      <c r="K85" s="73"/>
      <c r="L85" s="73"/>
      <c r="M85" s="73"/>
      <c r="N85" s="73"/>
      <c r="O85" s="73"/>
      <c r="P85" s="76">
        <f t="shared" si="2"/>
        <v>289700</v>
      </c>
    </row>
    <row r="86" spans="1:16" ht="25.5">
      <c r="A86" s="24"/>
      <c r="B86" s="74" t="s">
        <v>42</v>
      </c>
      <c r="C86" s="71" t="s">
        <v>204</v>
      </c>
      <c r="D86" s="75" t="s">
        <v>133</v>
      </c>
      <c r="E86" s="88">
        <f>F86</f>
        <v>289700</v>
      </c>
      <c r="F86" s="69">
        <v>289700</v>
      </c>
      <c r="G86" s="69"/>
      <c r="H86" s="69"/>
      <c r="I86" s="69"/>
      <c r="J86" s="68"/>
      <c r="K86" s="69"/>
      <c r="L86" s="69"/>
      <c r="M86" s="69"/>
      <c r="N86" s="69"/>
      <c r="O86" s="69"/>
      <c r="P86" s="76">
        <f t="shared" si="2"/>
        <v>289700</v>
      </c>
    </row>
    <row r="87" spans="1:16" s="17" customFormat="1" ht="25.5">
      <c r="A87" s="23"/>
      <c r="B87" s="70" t="s">
        <v>19</v>
      </c>
      <c r="C87" s="125"/>
      <c r="D87" s="72" t="s">
        <v>89</v>
      </c>
      <c r="E87" s="73">
        <f>E88+E89+E90+E91+E93+E94+E95+E96+E97++E98+E99+E100+E101+E102+E103+E104+E105+E106+E107+E108+E109+E110+E111+E113+E114+E115+E116+E117+E118+E119+E120+E121+E122</f>
        <v>135168623</v>
      </c>
      <c r="F87" s="73">
        <f aca="true" t="shared" si="22" ref="F87:P87">F88+F89+F90+F91+F93+F94+F95+F96+F97++F98+F99+F100+F101+F102+F103+F104+F105+F106+F107+F108+F109+F110+F111+F113+F114+F115+F116+F117+F118+F119+F120+F121+F122</f>
        <v>135168623</v>
      </c>
      <c r="G87" s="73">
        <f t="shared" si="22"/>
        <v>2429958</v>
      </c>
      <c r="H87" s="73">
        <f t="shared" si="22"/>
        <v>221852</v>
      </c>
      <c r="I87" s="73">
        <f t="shared" si="22"/>
        <v>0</v>
      </c>
      <c r="J87" s="73">
        <f t="shared" si="22"/>
        <v>32175</v>
      </c>
      <c r="K87" s="73">
        <f t="shared" si="22"/>
        <v>32175</v>
      </c>
      <c r="L87" s="73">
        <f t="shared" si="22"/>
        <v>0</v>
      </c>
      <c r="M87" s="73">
        <f t="shared" si="22"/>
        <v>3028</v>
      </c>
      <c r="N87" s="73">
        <f t="shared" si="22"/>
        <v>0</v>
      </c>
      <c r="O87" s="73">
        <f t="shared" si="22"/>
        <v>0</v>
      </c>
      <c r="P87" s="73">
        <f t="shared" si="22"/>
        <v>135200798</v>
      </c>
    </row>
    <row r="88" spans="1:16" ht="229.5">
      <c r="A88" s="24"/>
      <c r="B88" s="74" t="s">
        <v>43</v>
      </c>
      <c r="C88" s="71" t="s">
        <v>193</v>
      </c>
      <c r="D88" s="75" t="s">
        <v>134</v>
      </c>
      <c r="E88" s="88">
        <f>F88</f>
        <v>9435444</v>
      </c>
      <c r="F88" s="69">
        <v>9435444</v>
      </c>
      <c r="G88" s="69"/>
      <c r="H88" s="69"/>
      <c r="I88" s="69"/>
      <c r="J88" s="68"/>
      <c r="K88" s="69"/>
      <c r="L88" s="69"/>
      <c r="M88" s="69"/>
      <c r="N88" s="69"/>
      <c r="O88" s="69"/>
      <c r="P88" s="76">
        <f aca="true" t="shared" si="23" ref="P88:P158">E88+J88</f>
        <v>9435444</v>
      </c>
    </row>
    <row r="89" spans="1:16" ht="195" customHeight="1">
      <c r="A89" s="24"/>
      <c r="B89" s="74" t="s">
        <v>44</v>
      </c>
      <c r="C89" s="77">
        <v>1030</v>
      </c>
      <c r="D89" s="75" t="s">
        <v>135</v>
      </c>
      <c r="E89" s="88">
        <f>F89</f>
        <v>56007</v>
      </c>
      <c r="F89" s="69">
        <v>56007</v>
      </c>
      <c r="G89" s="69"/>
      <c r="H89" s="69"/>
      <c r="I89" s="69"/>
      <c r="J89" s="68"/>
      <c r="K89" s="69"/>
      <c r="L89" s="69"/>
      <c r="M89" s="69"/>
      <c r="N89" s="69"/>
      <c r="O89" s="69"/>
      <c r="P89" s="76">
        <f t="shared" si="23"/>
        <v>56007</v>
      </c>
    </row>
    <row r="90" spans="1:16" ht="216.75">
      <c r="A90" s="24"/>
      <c r="B90" s="74" t="s">
        <v>45</v>
      </c>
      <c r="C90" s="77">
        <v>1030</v>
      </c>
      <c r="D90" s="75" t="s">
        <v>136</v>
      </c>
      <c r="E90" s="88">
        <f>F90</f>
        <v>96320</v>
      </c>
      <c r="F90" s="69">
        <v>96320</v>
      </c>
      <c r="G90" s="69"/>
      <c r="H90" s="69"/>
      <c r="I90" s="69"/>
      <c r="J90" s="68"/>
      <c r="K90" s="69"/>
      <c r="L90" s="69"/>
      <c r="M90" s="69"/>
      <c r="N90" s="69"/>
      <c r="O90" s="69"/>
      <c r="P90" s="76">
        <f t="shared" si="23"/>
        <v>96320</v>
      </c>
    </row>
    <row r="91" spans="1:16" ht="344.25">
      <c r="A91" s="24"/>
      <c r="B91" s="167" t="s">
        <v>46</v>
      </c>
      <c r="C91" s="165">
        <v>1030</v>
      </c>
      <c r="D91" s="78" t="s">
        <v>215</v>
      </c>
      <c r="E91" s="166">
        <f>F91</f>
        <v>712212</v>
      </c>
      <c r="F91" s="171">
        <v>712212</v>
      </c>
      <c r="G91" s="160"/>
      <c r="H91" s="160"/>
      <c r="I91" s="171"/>
      <c r="J91" s="174"/>
      <c r="K91" s="176"/>
      <c r="L91" s="176"/>
      <c r="M91" s="176"/>
      <c r="N91" s="176"/>
      <c r="O91" s="176"/>
      <c r="P91" s="172">
        <f t="shared" si="23"/>
        <v>712212</v>
      </c>
    </row>
    <row r="92" spans="1:16" ht="280.5">
      <c r="A92" s="24"/>
      <c r="B92" s="167"/>
      <c r="C92" s="165"/>
      <c r="D92" s="79" t="s">
        <v>214</v>
      </c>
      <c r="E92" s="166"/>
      <c r="F92" s="171"/>
      <c r="G92" s="161"/>
      <c r="H92" s="161"/>
      <c r="I92" s="171"/>
      <c r="J92" s="175"/>
      <c r="K92" s="177"/>
      <c r="L92" s="177"/>
      <c r="M92" s="177"/>
      <c r="N92" s="177"/>
      <c r="O92" s="177"/>
      <c r="P92" s="173"/>
    </row>
    <row r="93" spans="1:16" ht="89.25">
      <c r="A93" s="24"/>
      <c r="B93" s="74" t="s">
        <v>47</v>
      </c>
      <c r="C93" s="77">
        <v>1070</v>
      </c>
      <c r="D93" s="75" t="s">
        <v>221</v>
      </c>
      <c r="E93" s="88">
        <f aca="true" t="shared" si="24" ref="E93:E99">F93</f>
        <v>339759</v>
      </c>
      <c r="F93" s="69">
        <v>339759</v>
      </c>
      <c r="G93" s="69"/>
      <c r="H93" s="69"/>
      <c r="I93" s="69"/>
      <c r="J93" s="68"/>
      <c r="K93" s="69"/>
      <c r="L93" s="69"/>
      <c r="M93" s="69"/>
      <c r="N93" s="69"/>
      <c r="O93" s="69"/>
      <c r="P93" s="76">
        <f t="shared" si="23"/>
        <v>339759</v>
      </c>
    </row>
    <row r="94" spans="1:16" ht="89.25">
      <c r="A94" s="24"/>
      <c r="B94" s="74" t="s">
        <v>48</v>
      </c>
      <c r="C94" s="77">
        <v>1070</v>
      </c>
      <c r="D94" s="75" t="s">
        <v>137</v>
      </c>
      <c r="E94" s="88">
        <f t="shared" si="24"/>
        <v>2969</v>
      </c>
      <c r="F94" s="69">
        <v>2969</v>
      </c>
      <c r="G94" s="69"/>
      <c r="H94" s="69"/>
      <c r="I94" s="69"/>
      <c r="J94" s="68"/>
      <c r="K94" s="69"/>
      <c r="L94" s="69"/>
      <c r="M94" s="69"/>
      <c r="N94" s="69"/>
      <c r="O94" s="69"/>
      <c r="P94" s="76">
        <f t="shared" si="23"/>
        <v>2969</v>
      </c>
    </row>
    <row r="95" spans="1:16" ht="76.5">
      <c r="A95" s="24"/>
      <c r="B95" s="74" t="s">
        <v>49</v>
      </c>
      <c r="C95" s="77">
        <v>1070</v>
      </c>
      <c r="D95" s="75" t="s">
        <v>138</v>
      </c>
      <c r="E95" s="88">
        <f t="shared" si="24"/>
        <v>13835</v>
      </c>
      <c r="F95" s="69">
        <v>13835</v>
      </c>
      <c r="G95" s="69"/>
      <c r="H95" s="69"/>
      <c r="I95" s="69"/>
      <c r="J95" s="68"/>
      <c r="K95" s="69"/>
      <c r="L95" s="69"/>
      <c r="M95" s="69"/>
      <c r="N95" s="69"/>
      <c r="O95" s="69"/>
      <c r="P95" s="76">
        <f t="shared" si="23"/>
        <v>13835</v>
      </c>
    </row>
    <row r="96" spans="1:16" ht="178.5">
      <c r="A96" s="24"/>
      <c r="B96" s="74" t="s">
        <v>50</v>
      </c>
      <c r="C96" s="77">
        <v>1070</v>
      </c>
      <c r="D96" s="75" t="s">
        <v>139</v>
      </c>
      <c r="E96" s="88">
        <f t="shared" si="24"/>
        <v>220682</v>
      </c>
      <c r="F96" s="69">
        <v>220682</v>
      </c>
      <c r="G96" s="69"/>
      <c r="H96" s="69"/>
      <c r="I96" s="69"/>
      <c r="J96" s="68"/>
      <c r="K96" s="69"/>
      <c r="L96" s="69"/>
      <c r="M96" s="69"/>
      <c r="N96" s="69"/>
      <c r="O96" s="69"/>
      <c r="P96" s="76">
        <f t="shared" si="23"/>
        <v>220682</v>
      </c>
    </row>
    <row r="97" spans="1:16" ht="178.5">
      <c r="A97" s="24"/>
      <c r="B97" s="74" t="s">
        <v>51</v>
      </c>
      <c r="C97" s="77">
        <v>1070</v>
      </c>
      <c r="D97" s="75" t="s">
        <v>140</v>
      </c>
      <c r="E97" s="88">
        <f t="shared" si="24"/>
        <v>19793</v>
      </c>
      <c r="F97" s="69">
        <v>19793</v>
      </c>
      <c r="G97" s="69"/>
      <c r="H97" s="69"/>
      <c r="I97" s="69"/>
      <c r="J97" s="68"/>
      <c r="K97" s="69"/>
      <c r="L97" s="69"/>
      <c r="M97" s="69"/>
      <c r="N97" s="69"/>
      <c r="O97" s="69"/>
      <c r="P97" s="76">
        <f t="shared" si="23"/>
        <v>19793</v>
      </c>
    </row>
    <row r="98" spans="1:16" ht="38.25">
      <c r="A98" s="24"/>
      <c r="B98" s="74" t="s">
        <v>52</v>
      </c>
      <c r="C98" s="77">
        <v>1070</v>
      </c>
      <c r="D98" s="75" t="s">
        <v>141</v>
      </c>
      <c r="E98" s="88">
        <f t="shared" si="24"/>
        <v>53510</v>
      </c>
      <c r="F98" s="69">
        <v>53510</v>
      </c>
      <c r="G98" s="69"/>
      <c r="H98" s="69"/>
      <c r="I98" s="69"/>
      <c r="J98" s="68"/>
      <c r="K98" s="69"/>
      <c r="L98" s="69"/>
      <c r="M98" s="69"/>
      <c r="N98" s="69"/>
      <c r="O98" s="69"/>
      <c r="P98" s="76">
        <f t="shared" si="23"/>
        <v>53510</v>
      </c>
    </row>
    <row r="99" spans="1:16" ht="25.5">
      <c r="A99" s="24"/>
      <c r="B99" s="74" t="s">
        <v>53</v>
      </c>
      <c r="C99" s="77">
        <v>1070</v>
      </c>
      <c r="D99" s="75" t="s">
        <v>142</v>
      </c>
      <c r="E99" s="88">
        <f t="shared" si="24"/>
        <v>400380</v>
      </c>
      <c r="F99" s="69">
        <v>400380</v>
      </c>
      <c r="G99" s="69"/>
      <c r="H99" s="69"/>
      <c r="I99" s="69"/>
      <c r="J99" s="68"/>
      <c r="K99" s="69"/>
      <c r="L99" s="69"/>
      <c r="M99" s="69"/>
      <c r="N99" s="69"/>
      <c r="O99" s="69"/>
      <c r="P99" s="76">
        <f t="shared" si="23"/>
        <v>400380</v>
      </c>
    </row>
    <row r="100" spans="1:16" ht="25.5">
      <c r="A100" s="24"/>
      <c r="B100" s="74" t="s">
        <v>54</v>
      </c>
      <c r="C100" s="77">
        <v>1070</v>
      </c>
      <c r="D100" s="75" t="s">
        <v>143</v>
      </c>
      <c r="E100" s="88">
        <f aca="true" t="shared" si="25" ref="E100:E111">F100</f>
        <v>1046568</v>
      </c>
      <c r="F100" s="69">
        <v>1046568</v>
      </c>
      <c r="G100" s="69"/>
      <c r="H100" s="69"/>
      <c r="I100" s="69"/>
      <c r="J100" s="68"/>
      <c r="K100" s="69"/>
      <c r="L100" s="69"/>
      <c r="M100" s="69"/>
      <c r="N100" s="69"/>
      <c r="O100" s="69"/>
      <c r="P100" s="76">
        <f t="shared" si="23"/>
        <v>1046568</v>
      </c>
    </row>
    <row r="101" spans="1:16" ht="25.5">
      <c r="A101" s="24"/>
      <c r="B101" s="74" t="s">
        <v>55</v>
      </c>
      <c r="C101" s="77">
        <v>1070</v>
      </c>
      <c r="D101" s="75" t="s">
        <v>144</v>
      </c>
      <c r="E101" s="88">
        <f t="shared" si="25"/>
        <v>27916</v>
      </c>
      <c r="F101" s="69">
        <v>27916</v>
      </c>
      <c r="G101" s="69"/>
      <c r="H101" s="69"/>
      <c r="I101" s="69"/>
      <c r="J101" s="68"/>
      <c r="K101" s="69"/>
      <c r="L101" s="69"/>
      <c r="M101" s="69"/>
      <c r="N101" s="69"/>
      <c r="O101" s="69"/>
      <c r="P101" s="76">
        <f t="shared" si="23"/>
        <v>27916</v>
      </c>
    </row>
    <row r="102" spans="1:16" ht="25.5">
      <c r="A102" s="24"/>
      <c r="B102" s="74" t="s">
        <v>56</v>
      </c>
      <c r="C102" s="77">
        <v>1040</v>
      </c>
      <c r="D102" s="75" t="s">
        <v>145</v>
      </c>
      <c r="E102" s="88">
        <f t="shared" si="25"/>
        <v>645453</v>
      </c>
      <c r="F102" s="69">
        <v>645453</v>
      </c>
      <c r="G102" s="69"/>
      <c r="H102" s="69"/>
      <c r="I102" s="69"/>
      <c r="J102" s="68"/>
      <c r="K102" s="69"/>
      <c r="L102" s="69"/>
      <c r="M102" s="69"/>
      <c r="N102" s="69"/>
      <c r="O102" s="69"/>
      <c r="P102" s="76">
        <f t="shared" si="23"/>
        <v>645453</v>
      </c>
    </row>
    <row r="103" spans="1:16" ht="25.5">
      <c r="A103" s="24"/>
      <c r="B103" s="74" t="s">
        <v>57</v>
      </c>
      <c r="C103" s="77">
        <v>1040</v>
      </c>
      <c r="D103" s="75" t="s">
        <v>216</v>
      </c>
      <c r="E103" s="88">
        <f t="shared" si="25"/>
        <v>533835</v>
      </c>
      <c r="F103" s="69">
        <v>533835</v>
      </c>
      <c r="G103" s="69"/>
      <c r="H103" s="69"/>
      <c r="I103" s="69"/>
      <c r="J103" s="68"/>
      <c r="K103" s="69"/>
      <c r="L103" s="69"/>
      <c r="M103" s="69"/>
      <c r="N103" s="69"/>
      <c r="O103" s="69"/>
      <c r="P103" s="76">
        <f t="shared" si="23"/>
        <v>533835</v>
      </c>
    </row>
    <row r="104" spans="1:16" ht="16.5">
      <c r="A104" s="24"/>
      <c r="B104" s="74" t="s">
        <v>58</v>
      </c>
      <c r="C104" s="77">
        <v>1040</v>
      </c>
      <c r="D104" s="75" t="s">
        <v>146</v>
      </c>
      <c r="E104" s="88">
        <f t="shared" si="25"/>
        <v>36143110</v>
      </c>
      <c r="F104" s="69">
        <v>36143110</v>
      </c>
      <c r="G104" s="69"/>
      <c r="H104" s="69"/>
      <c r="I104" s="69"/>
      <c r="J104" s="68"/>
      <c r="K104" s="69"/>
      <c r="L104" s="69"/>
      <c r="M104" s="69"/>
      <c r="N104" s="69"/>
      <c r="O104" s="69"/>
      <c r="P104" s="76">
        <f t="shared" si="23"/>
        <v>36143110</v>
      </c>
    </row>
    <row r="105" spans="1:16" ht="25.5">
      <c r="A105" s="24"/>
      <c r="B105" s="74" t="s">
        <v>59</v>
      </c>
      <c r="C105" s="77">
        <v>1040</v>
      </c>
      <c r="D105" s="75" t="s">
        <v>147</v>
      </c>
      <c r="E105" s="88">
        <f t="shared" si="25"/>
        <v>3217806</v>
      </c>
      <c r="F105" s="69">
        <v>3217806</v>
      </c>
      <c r="G105" s="69"/>
      <c r="H105" s="69"/>
      <c r="I105" s="69"/>
      <c r="J105" s="68"/>
      <c r="K105" s="69"/>
      <c r="L105" s="69"/>
      <c r="M105" s="69"/>
      <c r="N105" s="69"/>
      <c r="O105" s="69"/>
      <c r="P105" s="76">
        <f t="shared" si="23"/>
        <v>3217806</v>
      </c>
    </row>
    <row r="106" spans="1:16" ht="16.5">
      <c r="A106" s="24"/>
      <c r="B106" s="74" t="s">
        <v>60</v>
      </c>
      <c r="C106" s="77">
        <v>1040</v>
      </c>
      <c r="D106" s="75" t="s">
        <v>148</v>
      </c>
      <c r="E106" s="88">
        <f t="shared" si="25"/>
        <v>9087115</v>
      </c>
      <c r="F106" s="69">
        <v>9087115</v>
      </c>
      <c r="G106" s="69"/>
      <c r="H106" s="69"/>
      <c r="I106" s="69"/>
      <c r="J106" s="68"/>
      <c r="K106" s="69"/>
      <c r="L106" s="69"/>
      <c r="M106" s="69"/>
      <c r="N106" s="69"/>
      <c r="O106" s="69"/>
      <c r="P106" s="76">
        <f t="shared" si="23"/>
        <v>9087115</v>
      </c>
    </row>
    <row r="107" spans="1:16" ht="16.5">
      <c r="A107" s="24"/>
      <c r="B107" s="74" t="s">
        <v>61</v>
      </c>
      <c r="C107" s="77">
        <v>1040</v>
      </c>
      <c r="D107" s="75" t="s">
        <v>149</v>
      </c>
      <c r="E107" s="88">
        <f t="shared" si="25"/>
        <v>727914</v>
      </c>
      <c r="F107" s="69">
        <v>727914</v>
      </c>
      <c r="G107" s="69"/>
      <c r="H107" s="69"/>
      <c r="I107" s="69"/>
      <c r="J107" s="68"/>
      <c r="K107" s="69"/>
      <c r="L107" s="69"/>
      <c r="M107" s="69"/>
      <c r="N107" s="69"/>
      <c r="O107" s="69"/>
      <c r="P107" s="76">
        <f t="shared" si="23"/>
        <v>727914</v>
      </c>
    </row>
    <row r="108" spans="1:16" ht="16.5">
      <c r="A108" s="24"/>
      <c r="B108" s="74" t="s">
        <v>62</v>
      </c>
      <c r="C108" s="77">
        <v>1040</v>
      </c>
      <c r="D108" s="75" t="s">
        <v>150</v>
      </c>
      <c r="E108" s="88">
        <f t="shared" si="25"/>
        <v>113520</v>
      </c>
      <c r="F108" s="69">
        <v>113520</v>
      </c>
      <c r="G108" s="69"/>
      <c r="H108" s="69"/>
      <c r="I108" s="69"/>
      <c r="J108" s="68"/>
      <c r="K108" s="69"/>
      <c r="L108" s="69"/>
      <c r="M108" s="69"/>
      <c r="N108" s="69"/>
      <c r="O108" s="69"/>
      <c r="P108" s="76">
        <f t="shared" si="23"/>
        <v>113520</v>
      </c>
    </row>
    <row r="109" spans="1:16" ht="25.5">
      <c r="A109" s="24"/>
      <c r="B109" s="74" t="s">
        <v>63</v>
      </c>
      <c r="C109" s="77">
        <v>1040</v>
      </c>
      <c r="D109" s="75" t="s">
        <v>151</v>
      </c>
      <c r="E109" s="88">
        <f t="shared" si="25"/>
        <v>12789700</v>
      </c>
      <c r="F109" s="69">
        <v>12789700</v>
      </c>
      <c r="G109" s="69"/>
      <c r="H109" s="69"/>
      <c r="I109" s="69"/>
      <c r="J109" s="68"/>
      <c r="K109" s="69"/>
      <c r="L109" s="69"/>
      <c r="M109" s="69"/>
      <c r="N109" s="69"/>
      <c r="O109" s="69"/>
      <c r="P109" s="76">
        <f t="shared" si="23"/>
        <v>12789700</v>
      </c>
    </row>
    <row r="110" spans="1:16" ht="38.25">
      <c r="A110" s="24"/>
      <c r="B110" s="74" t="s">
        <v>64</v>
      </c>
      <c r="C110" s="77">
        <v>1060</v>
      </c>
      <c r="D110" s="75" t="s">
        <v>152</v>
      </c>
      <c r="E110" s="88">
        <f t="shared" si="25"/>
        <v>45111535</v>
      </c>
      <c r="F110" s="69">
        <v>45111535</v>
      </c>
      <c r="G110" s="69"/>
      <c r="H110" s="69"/>
      <c r="I110" s="69"/>
      <c r="J110" s="68"/>
      <c r="K110" s="69"/>
      <c r="L110" s="69"/>
      <c r="M110" s="69"/>
      <c r="N110" s="69"/>
      <c r="O110" s="69"/>
      <c r="P110" s="76">
        <f t="shared" si="23"/>
        <v>45111535</v>
      </c>
    </row>
    <row r="111" spans="1:16" ht="50.25" customHeight="1">
      <c r="A111" s="24"/>
      <c r="B111" s="74" t="s">
        <v>65</v>
      </c>
      <c r="C111" s="77">
        <v>1060</v>
      </c>
      <c r="D111" s="75" t="s">
        <v>153</v>
      </c>
      <c r="E111" s="88">
        <f t="shared" si="25"/>
        <v>283215</v>
      </c>
      <c r="F111" s="69">
        <v>283215</v>
      </c>
      <c r="G111" s="69"/>
      <c r="H111" s="69"/>
      <c r="I111" s="69"/>
      <c r="J111" s="68"/>
      <c r="K111" s="69"/>
      <c r="L111" s="69"/>
      <c r="M111" s="69"/>
      <c r="N111" s="69"/>
      <c r="O111" s="69"/>
      <c r="P111" s="76">
        <f t="shared" si="23"/>
        <v>283215</v>
      </c>
    </row>
    <row r="112" spans="1:16" ht="51" hidden="1">
      <c r="A112" s="24"/>
      <c r="B112" s="43" t="s">
        <v>182</v>
      </c>
      <c r="C112" s="62">
        <v>1060</v>
      </c>
      <c r="D112" s="45" t="s">
        <v>183</v>
      </c>
      <c r="E112" s="47"/>
      <c r="F112" s="47"/>
      <c r="G112" s="47"/>
      <c r="H112" s="47"/>
      <c r="I112" s="47"/>
      <c r="J112" s="49"/>
      <c r="K112" s="47"/>
      <c r="L112" s="47"/>
      <c r="M112" s="47"/>
      <c r="N112" s="47"/>
      <c r="O112" s="47"/>
      <c r="P112" s="42">
        <f t="shared" si="23"/>
        <v>0</v>
      </c>
    </row>
    <row r="113" spans="1:16" ht="25.5">
      <c r="A113" s="24"/>
      <c r="B113" s="80" t="s">
        <v>20</v>
      </c>
      <c r="C113" s="77">
        <v>1090</v>
      </c>
      <c r="D113" s="75" t="s">
        <v>90</v>
      </c>
      <c r="E113" s="69">
        <f aca="true" t="shared" si="26" ref="E113:E122">F113</f>
        <v>311272</v>
      </c>
      <c r="F113" s="69">
        <v>311272</v>
      </c>
      <c r="G113" s="69"/>
      <c r="H113" s="69"/>
      <c r="I113" s="69"/>
      <c r="J113" s="68"/>
      <c r="K113" s="69"/>
      <c r="L113" s="69"/>
      <c r="M113" s="69"/>
      <c r="N113" s="69"/>
      <c r="O113" s="69"/>
      <c r="P113" s="76">
        <f t="shared" si="23"/>
        <v>311272</v>
      </c>
    </row>
    <row r="114" spans="1:16" ht="25.5">
      <c r="A114" s="24"/>
      <c r="B114" s="80" t="s">
        <v>180</v>
      </c>
      <c r="C114" s="77">
        <v>1010</v>
      </c>
      <c r="D114" s="75" t="s">
        <v>181</v>
      </c>
      <c r="E114" s="88">
        <f t="shared" si="26"/>
        <v>1324722</v>
      </c>
      <c r="F114" s="69">
        <v>1324722</v>
      </c>
      <c r="G114" s="69"/>
      <c r="H114" s="69"/>
      <c r="I114" s="69"/>
      <c r="J114" s="68"/>
      <c r="K114" s="69"/>
      <c r="L114" s="69"/>
      <c r="M114" s="69"/>
      <c r="N114" s="69"/>
      <c r="O114" s="69"/>
      <c r="P114" s="76">
        <f t="shared" si="23"/>
        <v>1324722</v>
      </c>
    </row>
    <row r="115" spans="1:16" ht="25.5">
      <c r="A115" s="24"/>
      <c r="B115" s="74" t="s">
        <v>21</v>
      </c>
      <c r="C115" s="77">
        <v>1030</v>
      </c>
      <c r="D115" s="75" t="s">
        <v>91</v>
      </c>
      <c r="E115" s="69">
        <f t="shared" si="26"/>
        <v>56458</v>
      </c>
      <c r="F115" s="69">
        <v>56458</v>
      </c>
      <c r="G115" s="69"/>
      <c r="H115" s="69"/>
      <c r="I115" s="69"/>
      <c r="J115" s="68"/>
      <c r="K115" s="69"/>
      <c r="L115" s="69"/>
      <c r="M115" s="69"/>
      <c r="N115" s="69"/>
      <c r="O115" s="69"/>
      <c r="P115" s="76">
        <f t="shared" si="23"/>
        <v>56458</v>
      </c>
    </row>
    <row r="116" spans="1:16" ht="25.5">
      <c r="A116" s="24"/>
      <c r="B116" s="74" t="s">
        <v>66</v>
      </c>
      <c r="C116" s="77">
        <v>1030</v>
      </c>
      <c r="D116" s="75" t="s">
        <v>154</v>
      </c>
      <c r="E116" s="88">
        <f t="shared" si="26"/>
        <v>36400</v>
      </c>
      <c r="F116" s="69">
        <v>36400</v>
      </c>
      <c r="G116" s="69"/>
      <c r="H116" s="69"/>
      <c r="I116" s="69"/>
      <c r="J116" s="68"/>
      <c r="K116" s="69"/>
      <c r="L116" s="69"/>
      <c r="M116" s="69"/>
      <c r="N116" s="69"/>
      <c r="O116" s="69"/>
      <c r="P116" s="76">
        <f t="shared" si="23"/>
        <v>36400</v>
      </c>
    </row>
    <row r="117" spans="1:16" ht="38.25">
      <c r="A117" s="24"/>
      <c r="B117" s="74" t="s">
        <v>67</v>
      </c>
      <c r="C117" s="77">
        <v>1020</v>
      </c>
      <c r="D117" s="75" t="s">
        <v>155</v>
      </c>
      <c r="E117" s="69">
        <f t="shared" si="26"/>
        <v>1771350</v>
      </c>
      <c r="F117" s="69">
        <f>G117+H117+194</f>
        <v>1771350</v>
      </c>
      <c r="G117" s="69">
        <f>1393615+306595</f>
        <v>1700210</v>
      </c>
      <c r="H117" s="69">
        <v>70946</v>
      </c>
      <c r="I117" s="69"/>
      <c r="J117" s="88">
        <f>K117+N117</f>
        <v>32175</v>
      </c>
      <c r="K117" s="69">
        <v>32175</v>
      </c>
      <c r="L117" s="69"/>
      <c r="M117" s="69">
        <v>3028</v>
      </c>
      <c r="N117" s="69"/>
      <c r="O117" s="69"/>
      <c r="P117" s="76">
        <f t="shared" si="23"/>
        <v>1803525</v>
      </c>
    </row>
    <row r="118" spans="1:16" ht="76.5">
      <c r="A118" s="24"/>
      <c r="B118" s="74" t="s">
        <v>68</v>
      </c>
      <c r="C118" s="77">
        <v>1010</v>
      </c>
      <c r="D118" s="75" t="s">
        <v>156</v>
      </c>
      <c r="E118" s="69">
        <f t="shared" si="26"/>
        <v>147590</v>
      </c>
      <c r="F118" s="69">
        <v>147590</v>
      </c>
      <c r="G118" s="69"/>
      <c r="H118" s="69"/>
      <c r="I118" s="69"/>
      <c r="J118" s="68"/>
      <c r="K118" s="69"/>
      <c r="L118" s="69"/>
      <c r="M118" s="69"/>
      <c r="N118" s="69"/>
      <c r="O118" s="69"/>
      <c r="P118" s="76">
        <f t="shared" si="23"/>
        <v>147590</v>
      </c>
    </row>
    <row r="119" spans="1:16" ht="38.25">
      <c r="A119" s="24"/>
      <c r="B119" s="74" t="s">
        <v>69</v>
      </c>
      <c r="C119" s="77">
        <v>1010</v>
      </c>
      <c r="D119" s="75" t="s">
        <v>157</v>
      </c>
      <c r="E119" s="69">
        <f t="shared" si="26"/>
        <v>943518</v>
      </c>
      <c r="F119" s="69">
        <f>G119+H119+896+50565+11403</f>
        <v>943518</v>
      </c>
      <c r="G119" s="69">
        <f>598154+131594</f>
        <v>729748</v>
      </c>
      <c r="H119" s="69">
        <v>150906</v>
      </c>
      <c r="I119" s="69"/>
      <c r="J119" s="68"/>
      <c r="K119" s="69"/>
      <c r="L119" s="69"/>
      <c r="M119" s="69"/>
      <c r="N119" s="69"/>
      <c r="O119" s="69"/>
      <c r="P119" s="76">
        <f t="shared" si="23"/>
        <v>943518</v>
      </c>
    </row>
    <row r="120" spans="1:16" ht="76.5">
      <c r="A120" s="24"/>
      <c r="B120" s="74" t="s">
        <v>70</v>
      </c>
      <c r="C120" s="77">
        <v>1060</v>
      </c>
      <c r="D120" s="75" t="s">
        <v>158</v>
      </c>
      <c r="E120" s="69">
        <f t="shared" si="26"/>
        <v>657390</v>
      </c>
      <c r="F120" s="69">
        <f>657390</f>
        <v>657390</v>
      </c>
      <c r="G120" s="69"/>
      <c r="H120" s="69"/>
      <c r="I120" s="69"/>
      <c r="J120" s="68"/>
      <c r="K120" s="69"/>
      <c r="L120" s="69"/>
      <c r="M120" s="69"/>
      <c r="N120" s="69"/>
      <c r="O120" s="69"/>
      <c r="P120" s="76">
        <f t="shared" si="23"/>
        <v>657390</v>
      </c>
    </row>
    <row r="121" spans="1:16" ht="25.5">
      <c r="A121" s="24"/>
      <c r="B121" s="74" t="s">
        <v>71</v>
      </c>
      <c r="C121" s="77">
        <v>1030</v>
      </c>
      <c r="D121" s="75" t="s">
        <v>159</v>
      </c>
      <c r="E121" s="69">
        <f t="shared" si="26"/>
        <v>120000</v>
      </c>
      <c r="F121" s="69">
        <v>120000</v>
      </c>
      <c r="G121" s="69"/>
      <c r="H121" s="69"/>
      <c r="I121" s="69"/>
      <c r="J121" s="68"/>
      <c r="K121" s="69"/>
      <c r="L121" s="69"/>
      <c r="M121" s="69"/>
      <c r="N121" s="69"/>
      <c r="O121" s="69"/>
      <c r="P121" s="76">
        <f t="shared" si="23"/>
        <v>120000</v>
      </c>
    </row>
    <row r="122" spans="1:16" ht="25.5">
      <c r="A122" s="24"/>
      <c r="B122" s="74" t="s">
        <v>72</v>
      </c>
      <c r="C122" s="77">
        <v>1010</v>
      </c>
      <c r="D122" s="75" t="s">
        <v>160</v>
      </c>
      <c r="E122" s="88">
        <f t="shared" si="26"/>
        <v>8721325</v>
      </c>
      <c r="F122" s="69">
        <v>8721325</v>
      </c>
      <c r="G122" s="69"/>
      <c r="H122" s="69"/>
      <c r="I122" s="69"/>
      <c r="J122" s="68"/>
      <c r="K122" s="69"/>
      <c r="L122" s="69"/>
      <c r="M122" s="69"/>
      <c r="N122" s="69"/>
      <c r="O122" s="69"/>
      <c r="P122" s="76">
        <f t="shared" si="23"/>
        <v>8721325</v>
      </c>
    </row>
    <row r="123" spans="1:16" s="17" customFormat="1" ht="38.25">
      <c r="A123" s="23"/>
      <c r="B123" s="70">
        <v>170000</v>
      </c>
      <c r="C123" s="81"/>
      <c r="D123" s="72" t="s">
        <v>106</v>
      </c>
      <c r="E123" s="73">
        <f>F123</f>
        <v>2063865</v>
      </c>
      <c r="F123" s="73">
        <f>SUM(F124:F125)</f>
        <v>2063865</v>
      </c>
      <c r="G123" s="73"/>
      <c r="H123" s="73"/>
      <c r="I123" s="73"/>
      <c r="J123" s="73"/>
      <c r="K123" s="73"/>
      <c r="L123" s="73"/>
      <c r="M123" s="73"/>
      <c r="N123" s="73"/>
      <c r="O123" s="73"/>
      <c r="P123" s="76">
        <f t="shared" si="23"/>
        <v>2063865</v>
      </c>
    </row>
    <row r="124" spans="1:16" ht="38.25">
      <c r="A124" s="24"/>
      <c r="B124" s="74">
        <v>170102</v>
      </c>
      <c r="C124" s="77">
        <v>1070</v>
      </c>
      <c r="D124" s="75" t="s">
        <v>161</v>
      </c>
      <c r="E124" s="69">
        <f>F124</f>
        <v>1916017</v>
      </c>
      <c r="F124" s="69">
        <v>1916017</v>
      </c>
      <c r="G124" s="69"/>
      <c r="H124" s="69"/>
      <c r="I124" s="69"/>
      <c r="J124" s="68"/>
      <c r="K124" s="69"/>
      <c r="L124" s="69"/>
      <c r="M124" s="69"/>
      <c r="N124" s="69"/>
      <c r="O124" s="69"/>
      <c r="P124" s="76">
        <f t="shared" si="23"/>
        <v>1916017</v>
      </c>
    </row>
    <row r="125" spans="1:16" ht="38.25">
      <c r="A125" s="24"/>
      <c r="B125" s="74">
        <v>170302</v>
      </c>
      <c r="C125" s="77">
        <v>1070</v>
      </c>
      <c r="D125" s="75" t="s">
        <v>162</v>
      </c>
      <c r="E125" s="69">
        <f>F125</f>
        <v>147848</v>
      </c>
      <c r="F125" s="69">
        <v>147848</v>
      </c>
      <c r="G125" s="69"/>
      <c r="H125" s="69"/>
      <c r="I125" s="69"/>
      <c r="J125" s="68"/>
      <c r="K125" s="69"/>
      <c r="L125" s="69"/>
      <c r="M125" s="69"/>
      <c r="N125" s="69"/>
      <c r="O125" s="69"/>
      <c r="P125" s="76">
        <f t="shared" si="23"/>
        <v>147848</v>
      </c>
    </row>
    <row r="126" spans="1:16" s="17" customFormat="1" ht="25.5">
      <c r="A126" s="23"/>
      <c r="B126" s="70">
        <v>250000</v>
      </c>
      <c r="C126" s="81"/>
      <c r="D126" s="72" t="s">
        <v>112</v>
      </c>
      <c r="E126" s="73">
        <f>E127</f>
        <v>32560</v>
      </c>
      <c r="F126" s="73">
        <f aca="true" t="shared" si="27" ref="F126:O126">F127</f>
        <v>32560</v>
      </c>
      <c r="G126" s="73">
        <f t="shared" si="27"/>
        <v>0</v>
      </c>
      <c r="H126" s="73">
        <f t="shared" si="27"/>
        <v>0</v>
      </c>
      <c r="I126" s="73">
        <f t="shared" si="27"/>
        <v>0</v>
      </c>
      <c r="J126" s="73">
        <f t="shared" si="27"/>
        <v>0</v>
      </c>
      <c r="K126" s="73">
        <f t="shared" si="27"/>
        <v>0</v>
      </c>
      <c r="L126" s="73">
        <f t="shared" si="27"/>
        <v>0</v>
      </c>
      <c r="M126" s="73">
        <f t="shared" si="27"/>
        <v>0</v>
      </c>
      <c r="N126" s="73">
        <f t="shared" si="27"/>
        <v>0</v>
      </c>
      <c r="O126" s="73">
        <f t="shared" si="27"/>
        <v>0</v>
      </c>
      <c r="P126" s="76">
        <f t="shared" si="23"/>
        <v>32560</v>
      </c>
    </row>
    <row r="127" spans="1:16" ht="17.25" thickBot="1">
      <c r="A127" s="26"/>
      <c r="B127" s="120">
        <v>250404</v>
      </c>
      <c r="C127" s="83" t="s">
        <v>203</v>
      </c>
      <c r="D127" s="121" t="s">
        <v>113</v>
      </c>
      <c r="E127" s="85">
        <f>F127</f>
        <v>32560</v>
      </c>
      <c r="F127" s="85">
        <v>32560</v>
      </c>
      <c r="G127" s="85"/>
      <c r="H127" s="85"/>
      <c r="I127" s="85"/>
      <c r="J127" s="94"/>
      <c r="K127" s="85"/>
      <c r="L127" s="85"/>
      <c r="M127" s="85"/>
      <c r="N127" s="85"/>
      <c r="O127" s="85"/>
      <c r="P127" s="95">
        <f t="shared" si="23"/>
        <v>32560</v>
      </c>
    </row>
    <row r="128" spans="1:16" s="17" customFormat="1" ht="25.5">
      <c r="A128" s="27"/>
      <c r="B128" s="89" t="s">
        <v>73</v>
      </c>
      <c r="C128" s="90"/>
      <c r="D128" s="91" t="s">
        <v>163</v>
      </c>
      <c r="E128" s="92">
        <f>E129+E131+E140</f>
        <v>11778127</v>
      </c>
      <c r="F128" s="92">
        <f aca="true" t="shared" si="28" ref="F128:M128">F129+F131+F140</f>
        <v>11778127</v>
      </c>
      <c r="G128" s="92">
        <f t="shared" si="28"/>
        <v>9143328</v>
      </c>
      <c r="H128" s="92">
        <f t="shared" si="28"/>
        <v>2200227</v>
      </c>
      <c r="I128" s="92">
        <f t="shared" si="28"/>
        <v>0</v>
      </c>
      <c r="J128" s="92">
        <f>J129+J131+J140+J138</f>
        <v>1280671</v>
      </c>
      <c r="K128" s="92">
        <f t="shared" si="28"/>
        <v>687297</v>
      </c>
      <c r="L128" s="92">
        <f t="shared" si="28"/>
        <v>614229</v>
      </c>
      <c r="M128" s="92">
        <f t="shared" si="28"/>
        <v>4210</v>
      </c>
      <c r="N128" s="92">
        <f>O128</f>
        <v>593374</v>
      </c>
      <c r="O128" s="92">
        <f>O138</f>
        <v>593374</v>
      </c>
      <c r="P128" s="93">
        <f t="shared" si="23"/>
        <v>13058798</v>
      </c>
    </row>
    <row r="129" spans="1:16" s="17" customFormat="1" ht="16.5">
      <c r="A129" s="23"/>
      <c r="B129" s="70" t="s">
        <v>14</v>
      </c>
      <c r="C129" s="81"/>
      <c r="D129" s="72" t="s">
        <v>83</v>
      </c>
      <c r="E129" s="73">
        <f>E130</f>
        <v>223343</v>
      </c>
      <c r="F129" s="73">
        <f aca="true" t="shared" si="29" ref="F129:O129">F130</f>
        <v>223343</v>
      </c>
      <c r="G129" s="73">
        <f t="shared" si="29"/>
        <v>202338</v>
      </c>
      <c r="H129" s="73">
        <f t="shared" si="29"/>
        <v>15651</v>
      </c>
      <c r="I129" s="73">
        <f t="shared" si="29"/>
        <v>0</v>
      </c>
      <c r="J129" s="73">
        <f t="shared" si="29"/>
        <v>0</v>
      </c>
      <c r="K129" s="73">
        <f t="shared" si="29"/>
        <v>0</v>
      </c>
      <c r="L129" s="73">
        <f t="shared" si="29"/>
        <v>0</v>
      </c>
      <c r="M129" s="73">
        <f t="shared" si="29"/>
        <v>0</v>
      </c>
      <c r="N129" s="73">
        <f t="shared" si="29"/>
        <v>0</v>
      </c>
      <c r="O129" s="73">
        <f t="shared" si="29"/>
        <v>0</v>
      </c>
      <c r="P129" s="76">
        <f t="shared" si="23"/>
        <v>223343</v>
      </c>
    </row>
    <row r="130" spans="1:16" ht="16.5">
      <c r="A130" s="24"/>
      <c r="B130" s="74" t="s">
        <v>10</v>
      </c>
      <c r="C130" s="71" t="s">
        <v>188</v>
      </c>
      <c r="D130" s="75" t="s">
        <v>84</v>
      </c>
      <c r="E130" s="69">
        <f>F130</f>
        <v>223343</v>
      </c>
      <c r="F130" s="69">
        <f>G130+H130+1568+2626+1160</f>
        <v>223343</v>
      </c>
      <c r="G130" s="69">
        <f>165851+36487</f>
        <v>202338</v>
      </c>
      <c r="H130" s="69">
        <f>12988+203+2460</f>
        <v>15651</v>
      </c>
      <c r="I130" s="69"/>
      <c r="J130" s="68"/>
      <c r="K130" s="69"/>
      <c r="L130" s="69"/>
      <c r="M130" s="69"/>
      <c r="N130" s="69"/>
      <c r="O130" s="69"/>
      <c r="P130" s="76">
        <f t="shared" si="23"/>
        <v>223343</v>
      </c>
    </row>
    <row r="131" spans="1:16" s="17" customFormat="1" ht="16.5">
      <c r="A131" s="23"/>
      <c r="B131" s="70">
        <v>110000</v>
      </c>
      <c r="C131" s="81"/>
      <c r="D131" s="72" t="s">
        <v>164</v>
      </c>
      <c r="E131" s="73">
        <f>E132+E133+E134+E135+E136+E137</f>
        <v>11544784</v>
      </c>
      <c r="F131" s="73">
        <f aca="true" t="shared" si="30" ref="F131:O131">F132+F133+F134+F135+F136+F137</f>
        <v>11544784</v>
      </c>
      <c r="G131" s="73">
        <f t="shared" si="30"/>
        <v>8940990</v>
      </c>
      <c r="H131" s="73">
        <f t="shared" si="30"/>
        <v>2184576</v>
      </c>
      <c r="I131" s="73">
        <f t="shared" si="30"/>
        <v>0</v>
      </c>
      <c r="J131" s="73">
        <f t="shared" si="30"/>
        <v>687297</v>
      </c>
      <c r="K131" s="73">
        <f t="shared" si="30"/>
        <v>687297</v>
      </c>
      <c r="L131" s="73">
        <f t="shared" si="30"/>
        <v>614229</v>
      </c>
      <c r="M131" s="73">
        <f t="shared" si="30"/>
        <v>4210</v>
      </c>
      <c r="N131" s="73">
        <f t="shared" si="30"/>
        <v>0</v>
      </c>
      <c r="O131" s="73">
        <f t="shared" si="30"/>
        <v>0</v>
      </c>
      <c r="P131" s="76">
        <f t="shared" si="23"/>
        <v>12232081</v>
      </c>
    </row>
    <row r="132" spans="1:16" ht="25.5">
      <c r="A132" s="24"/>
      <c r="B132" s="74">
        <v>110103</v>
      </c>
      <c r="C132" s="71" t="s">
        <v>209</v>
      </c>
      <c r="D132" s="75" t="s">
        <v>165</v>
      </c>
      <c r="E132" s="69">
        <v>307306</v>
      </c>
      <c r="F132" s="69">
        <v>307306</v>
      </c>
      <c r="G132" s="69">
        <v>51533</v>
      </c>
      <c r="H132" s="69"/>
      <c r="I132" s="69"/>
      <c r="J132" s="68"/>
      <c r="K132" s="69"/>
      <c r="L132" s="69"/>
      <c r="M132" s="69"/>
      <c r="N132" s="69"/>
      <c r="O132" s="69"/>
      <c r="P132" s="76">
        <f t="shared" si="23"/>
        <v>307306</v>
      </c>
    </row>
    <row r="133" spans="1:16" ht="16.5">
      <c r="A133" s="24"/>
      <c r="B133" s="74">
        <v>110201</v>
      </c>
      <c r="C133" s="71" t="s">
        <v>210</v>
      </c>
      <c r="D133" s="75" t="s">
        <v>166</v>
      </c>
      <c r="E133" s="69">
        <f>F133</f>
        <v>2497756</v>
      </c>
      <c r="F133" s="69">
        <v>2497756</v>
      </c>
      <c r="G133" s="69">
        <v>2169545</v>
      </c>
      <c r="H133" s="69">
        <v>286466</v>
      </c>
      <c r="I133" s="69"/>
      <c r="J133" s="68">
        <f>K133+N133</f>
        <v>8447</v>
      </c>
      <c r="K133" s="69">
        <v>8447</v>
      </c>
      <c r="L133" s="69"/>
      <c r="M133" s="69"/>
      <c r="N133" s="69"/>
      <c r="O133" s="69"/>
      <c r="P133" s="76">
        <f t="shared" si="23"/>
        <v>2506203</v>
      </c>
    </row>
    <row r="134" spans="1:16" ht="16.5">
      <c r="A134" s="24"/>
      <c r="B134" s="74">
        <v>110202</v>
      </c>
      <c r="C134" s="71" t="s">
        <v>210</v>
      </c>
      <c r="D134" s="75" t="s">
        <v>167</v>
      </c>
      <c r="E134" s="69">
        <f>F134</f>
        <v>695380</v>
      </c>
      <c r="F134" s="69">
        <v>695380</v>
      </c>
      <c r="G134" s="69">
        <v>342000</v>
      </c>
      <c r="H134" s="69">
        <v>311200</v>
      </c>
      <c r="I134" s="69"/>
      <c r="J134" s="68">
        <f aca="true" t="shared" si="31" ref="J134:J141">K134+N134</f>
        <v>4376</v>
      </c>
      <c r="K134" s="69">
        <v>4376</v>
      </c>
      <c r="L134" s="69"/>
      <c r="M134" s="69"/>
      <c r="N134" s="69"/>
      <c r="O134" s="69"/>
      <c r="P134" s="76">
        <f t="shared" si="23"/>
        <v>699756</v>
      </c>
    </row>
    <row r="135" spans="1:16" ht="25.5">
      <c r="A135" s="24"/>
      <c r="B135" s="74">
        <v>110204</v>
      </c>
      <c r="C135" s="71" t="s">
        <v>211</v>
      </c>
      <c r="D135" s="75" t="s">
        <v>168</v>
      </c>
      <c r="E135" s="69">
        <f>F135</f>
        <v>1394876</v>
      </c>
      <c r="F135" s="69">
        <v>1394876</v>
      </c>
      <c r="G135" s="69">
        <v>1277912</v>
      </c>
      <c r="H135" s="69">
        <v>79674</v>
      </c>
      <c r="I135" s="69"/>
      <c r="J135" s="68">
        <f t="shared" si="31"/>
        <v>300</v>
      </c>
      <c r="K135" s="69">
        <v>300</v>
      </c>
      <c r="L135" s="69"/>
      <c r="M135" s="69"/>
      <c r="N135" s="69"/>
      <c r="O135" s="69"/>
      <c r="P135" s="76">
        <f t="shared" si="23"/>
        <v>1395176</v>
      </c>
    </row>
    <row r="136" spans="1:16" ht="16.5">
      <c r="A136" s="24"/>
      <c r="B136" s="74">
        <v>110205</v>
      </c>
      <c r="C136" s="71" t="s">
        <v>206</v>
      </c>
      <c r="D136" s="75" t="s">
        <v>169</v>
      </c>
      <c r="E136" s="69">
        <f>F136</f>
        <v>6311747</v>
      </c>
      <c r="F136" s="69">
        <v>6311747</v>
      </c>
      <c r="G136" s="69">
        <v>4800000</v>
      </c>
      <c r="H136" s="69">
        <v>1483790</v>
      </c>
      <c r="I136" s="69"/>
      <c r="J136" s="68">
        <f t="shared" si="31"/>
        <v>674174</v>
      </c>
      <c r="K136" s="69">
        <v>674174</v>
      </c>
      <c r="L136" s="69">
        <v>614229</v>
      </c>
      <c r="M136" s="69">
        <v>4210</v>
      </c>
      <c r="N136" s="69"/>
      <c r="O136" s="69"/>
      <c r="P136" s="76">
        <f t="shared" si="23"/>
        <v>6985921</v>
      </c>
    </row>
    <row r="137" spans="1:16" ht="16.5">
      <c r="A137" s="24"/>
      <c r="B137" s="74">
        <v>110502</v>
      </c>
      <c r="C137" s="71" t="s">
        <v>212</v>
      </c>
      <c r="D137" s="75" t="s">
        <v>170</v>
      </c>
      <c r="E137" s="69">
        <f>F137</f>
        <v>337719</v>
      </c>
      <c r="F137" s="69">
        <v>337719</v>
      </c>
      <c r="G137" s="69">
        <v>300000</v>
      </c>
      <c r="H137" s="69">
        <v>23446</v>
      </c>
      <c r="I137" s="69"/>
      <c r="J137" s="68">
        <f t="shared" si="31"/>
        <v>0</v>
      </c>
      <c r="K137" s="69"/>
      <c r="L137" s="69"/>
      <c r="M137" s="69"/>
      <c r="N137" s="69"/>
      <c r="O137" s="69"/>
      <c r="P137" s="76">
        <f t="shared" si="23"/>
        <v>337719</v>
      </c>
    </row>
    <row r="138" spans="1:16" s="17" customFormat="1" ht="16.5">
      <c r="A138" s="23"/>
      <c r="B138" s="70">
        <v>150000</v>
      </c>
      <c r="C138" s="71"/>
      <c r="D138" s="72" t="s">
        <v>101</v>
      </c>
      <c r="E138" s="73"/>
      <c r="F138" s="73"/>
      <c r="G138" s="73"/>
      <c r="H138" s="73"/>
      <c r="I138" s="73"/>
      <c r="J138" s="68">
        <f t="shared" si="31"/>
        <v>593374</v>
      </c>
      <c r="K138" s="73"/>
      <c r="L138" s="73"/>
      <c r="M138" s="73"/>
      <c r="N138" s="73">
        <f>O138</f>
        <v>593374</v>
      </c>
      <c r="O138" s="73">
        <f>O139</f>
        <v>593374</v>
      </c>
      <c r="P138" s="76">
        <f t="shared" si="23"/>
        <v>593374</v>
      </c>
    </row>
    <row r="139" spans="1:16" ht="16.5">
      <c r="A139" s="24"/>
      <c r="B139" s="74">
        <v>150101</v>
      </c>
      <c r="C139" s="71" t="s">
        <v>198</v>
      </c>
      <c r="D139" s="75" t="s">
        <v>102</v>
      </c>
      <c r="E139" s="69"/>
      <c r="F139" s="69"/>
      <c r="G139" s="69"/>
      <c r="H139" s="69"/>
      <c r="I139" s="69"/>
      <c r="J139" s="68">
        <f t="shared" si="31"/>
        <v>593374</v>
      </c>
      <c r="K139" s="69"/>
      <c r="L139" s="69"/>
      <c r="M139" s="69"/>
      <c r="N139" s="69">
        <f>O139</f>
        <v>593374</v>
      </c>
      <c r="O139" s="69">
        <v>593374</v>
      </c>
      <c r="P139" s="76">
        <f t="shared" si="23"/>
        <v>593374</v>
      </c>
    </row>
    <row r="140" spans="1:16" s="17" customFormat="1" ht="25.5">
      <c r="A140" s="23"/>
      <c r="B140" s="100" t="s">
        <v>74</v>
      </c>
      <c r="C140" s="71"/>
      <c r="D140" s="72" t="s">
        <v>112</v>
      </c>
      <c r="E140" s="73">
        <f>E141</f>
        <v>10000</v>
      </c>
      <c r="F140" s="73">
        <f aca="true" t="shared" si="32" ref="F140:O140">F141</f>
        <v>10000</v>
      </c>
      <c r="G140" s="73">
        <f t="shared" si="32"/>
        <v>0</v>
      </c>
      <c r="H140" s="73">
        <f t="shared" si="32"/>
        <v>0</v>
      </c>
      <c r="I140" s="73">
        <f t="shared" si="32"/>
        <v>0</v>
      </c>
      <c r="J140" s="68">
        <f t="shared" si="31"/>
        <v>0</v>
      </c>
      <c r="K140" s="73">
        <f t="shared" si="32"/>
        <v>0</v>
      </c>
      <c r="L140" s="73">
        <f t="shared" si="32"/>
        <v>0</v>
      </c>
      <c r="M140" s="73">
        <f t="shared" si="32"/>
        <v>0</v>
      </c>
      <c r="N140" s="73">
        <f t="shared" si="32"/>
        <v>0</v>
      </c>
      <c r="O140" s="73">
        <f t="shared" si="32"/>
        <v>0</v>
      </c>
      <c r="P140" s="76">
        <f t="shared" si="23"/>
        <v>10000</v>
      </c>
    </row>
    <row r="141" spans="1:16" ht="17.25" thickBot="1">
      <c r="A141" s="24"/>
      <c r="B141" s="82" t="s">
        <v>75</v>
      </c>
      <c r="C141" s="83" t="s">
        <v>203</v>
      </c>
      <c r="D141" s="101" t="s">
        <v>113</v>
      </c>
      <c r="E141" s="85">
        <v>10000</v>
      </c>
      <c r="F141" s="85">
        <v>10000</v>
      </c>
      <c r="G141" s="85"/>
      <c r="H141" s="85"/>
      <c r="I141" s="85"/>
      <c r="J141" s="94">
        <f t="shared" si="31"/>
        <v>0</v>
      </c>
      <c r="K141" s="85"/>
      <c r="L141" s="85"/>
      <c r="M141" s="85"/>
      <c r="N141" s="85"/>
      <c r="O141" s="85"/>
      <c r="P141" s="95">
        <f t="shared" si="23"/>
        <v>10000</v>
      </c>
    </row>
    <row r="142" spans="1:16" s="17" customFormat="1" ht="25.5">
      <c r="A142" s="23"/>
      <c r="B142" s="89" t="s">
        <v>76</v>
      </c>
      <c r="C142" s="90"/>
      <c r="D142" s="91" t="s">
        <v>171</v>
      </c>
      <c r="E142" s="92">
        <f>E143</f>
        <v>863984</v>
      </c>
      <c r="F142" s="92">
        <f aca="true" t="shared" si="33" ref="F142:O143">F143</f>
        <v>863984</v>
      </c>
      <c r="G142" s="92">
        <f t="shared" si="33"/>
        <v>513938</v>
      </c>
      <c r="H142" s="92">
        <f t="shared" si="33"/>
        <v>189473</v>
      </c>
      <c r="I142" s="92">
        <f t="shared" si="33"/>
        <v>0</v>
      </c>
      <c r="J142" s="92">
        <f t="shared" si="33"/>
        <v>14000</v>
      </c>
      <c r="K142" s="92">
        <f t="shared" si="33"/>
        <v>14000</v>
      </c>
      <c r="L142" s="92">
        <f t="shared" si="33"/>
        <v>0</v>
      </c>
      <c r="M142" s="92">
        <f t="shared" si="33"/>
        <v>0</v>
      </c>
      <c r="N142" s="92">
        <f t="shared" si="33"/>
        <v>0</v>
      </c>
      <c r="O142" s="92">
        <f t="shared" si="33"/>
        <v>0</v>
      </c>
      <c r="P142" s="93">
        <f t="shared" si="23"/>
        <v>877984</v>
      </c>
    </row>
    <row r="143" spans="1:16" s="17" customFormat="1" ht="16.5">
      <c r="A143" s="23"/>
      <c r="B143" s="70" t="s">
        <v>14</v>
      </c>
      <c r="C143" s="71"/>
      <c r="D143" s="72" t="s">
        <v>83</v>
      </c>
      <c r="E143" s="73">
        <f>E144</f>
        <v>863984</v>
      </c>
      <c r="F143" s="73">
        <f t="shared" si="33"/>
        <v>863984</v>
      </c>
      <c r="G143" s="73">
        <f t="shared" si="33"/>
        <v>513938</v>
      </c>
      <c r="H143" s="73">
        <f t="shared" si="33"/>
        <v>189473</v>
      </c>
      <c r="I143" s="73">
        <f t="shared" si="33"/>
        <v>0</v>
      </c>
      <c r="J143" s="73">
        <f t="shared" si="33"/>
        <v>14000</v>
      </c>
      <c r="K143" s="73">
        <f t="shared" si="33"/>
        <v>14000</v>
      </c>
      <c r="L143" s="73">
        <f t="shared" si="33"/>
        <v>0</v>
      </c>
      <c r="M143" s="73">
        <f t="shared" si="33"/>
        <v>0</v>
      </c>
      <c r="N143" s="73">
        <f t="shared" si="33"/>
        <v>0</v>
      </c>
      <c r="O143" s="73">
        <f t="shared" si="33"/>
        <v>0</v>
      </c>
      <c r="P143" s="76">
        <f t="shared" si="23"/>
        <v>877984</v>
      </c>
    </row>
    <row r="144" spans="1:16" ht="17.25" thickBot="1">
      <c r="A144" s="24"/>
      <c r="B144" s="82" t="s">
        <v>10</v>
      </c>
      <c r="C144" s="83" t="s">
        <v>188</v>
      </c>
      <c r="D144" s="84" t="s">
        <v>84</v>
      </c>
      <c r="E144" s="85">
        <f>F144</f>
        <v>863984</v>
      </c>
      <c r="F144" s="85">
        <f>G144+H144+160573</f>
        <v>863984</v>
      </c>
      <c r="G144" s="85">
        <f>421260+92678</f>
        <v>513938</v>
      </c>
      <c r="H144" s="85">
        <v>189473</v>
      </c>
      <c r="I144" s="85"/>
      <c r="J144" s="94">
        <f>K144+N144</f>
        <v>14000</v>
      </c>
      <c r="K144" s="85">
        <v>14000</v>
      </c>
      <c r="L144" s="85"/>
      <c r="M144" s="85"/>
      <c r="N144" s="85"/>
      <c r="O144" s="85"/>
      <c r="P144" s="95">
        <f t="shared" si="23"/>
        <v>877984</v>
      </c>
    </row>
    <row r="145" spans="1:16" s="17" customFormat="1" ht="38.25">
      <c r="A145" s="23"/>
      <c r="B145" s="89" t="s">
        <v>77</v>
      </c>
      <c r="C145" s="90"/>
      <c r="D145" s="91" t="s">
        <v>172</v>
      </c>
      <c r="E145" s="92">
        <f>E146</f>
        <v>466953</v>
      </c>
      <c r="F145" s="92">
        <f aca="true" t="shared" si="34" ref="F145:O146">F146</f>
        <v>466953</v>
      </c>
      <c r="G145" s="92">
        <f t="shared" si="34"/>
        <v>440762</v>
      </c>
      <c r="H145" s="92">
        <f t="shared" si="34"/>
        <v>23241</v>
      </c>
      <c r="I145" s="92">
        <f t="shared" si="34"/>
        <v>0</v>
      </c>
      <c r="J145" s="92">
        <f t="shared" si="34"/>
        <v>0</v>
      </c>
      <c r="K145" s="92">
        <f t="shared" si="34"/>
        <v>0</v>
      </c>
      <c r="L145" s="92">
        <f t="shared" si="34"/>
        <v>0</v>
      </c>
      <c r="M145" s="92">
        <f t="shared" si="34"/>
        <v>0</v>
      </c>
      <c r="N145" s="92">
        <f t="shared" si="34"/>
        <v>0</v>
      </c>
      <c r="O145" s="92">
        <f t="shared" si="34"/>
        <v>0</v>
      </c>
      <c r="P145" s="93">
        <f t="shared" si="23"/>
        <v>466953</v>
      </c>
    </row>
    <row r="146" spans="1:16" s="17" customFormat="1" ht="16.5">
      <c r="A146" s="23"/>
      <c r="B146" s="70" t="s">
        <v>14</v>
      </c>
      <c r="C146" s="81"/>
      <c r="D146" s="72" t="s">
        <v>83</v>
      </c>
      <c r="E146" s="73">
        <f>E147</f>
        <v>466953</v>
      </c>
      <c r="F146" s="73">
        <f t="shared" si="34"/>
        <v>466953</v>
      </c>
      <c r="G146" s="73">
        <f t="shared" si="34"/>
        <v>440762</v>
      </c>
      <c r="H146" s="73">
        <f t="shared" si="34"/>
        <v>23241</v>
      </c>
      <c r="I146" s="73">
        <f t="shared" si="34"/>
        <v>0</v>
      </c>
      <c r="J146" s="73">
        <f t="shared" si="34"/>
        <v>0</v>
      </c>
      <c r="K146" s="73">
        <f t="shared" si="34"/>
        <v>0</v>
      </c>
      <c r="L146" s="73">
        <f t="shared" si="34"/>
        <v>0</v>
      </c>
      <c r="M146" s="73">
        <f t="shared" si="34"/>
        <v>0</v>
      </c>
      <c r="N146" s="73">
        <f t="shared" si="34"/>
        <v>0</v>
      </c>
      <c r="O146" s="73">
        <f t="shared" si="34"/>
        <v>0</v>
      </c>
      <c r="P146" s="76">
        <f t="shared" si="23"/>
        <v>466953</v>
      </c>
    </row>
    <row r="147" spans="1:16" ht="16.5">
      <c r="A147" s="24"/>
      <c r="B147" s="74" t="s">
        <v>10</v>
      </c>
      <c r="C147" s="71" t="s">
        <v>188</v>
      </c>
      <c r="D147" s="75" t="s">
        <v>84</v>
      </c>
      <c r="E147" s="69">
        <f>F147</f>
        <v>466953</v>
      </c>
      <c r="F147" s="69">
        <f>G147+H147+2950</f>
        <v>466953</v>
      </c>
      <c r="G147" s="69">
        <f>361280+79482</f>
        <v>440762</v>
      </c>
      <c r="H147" s="69">
        <v>23241</v>
      </c>
      <c r="I147" s="69"/>
      <c r="J147" s="68"/>
      <c r="K147" s="69"/>
      <c r="L147" s="69"/>
      <c r="M147" s="69"/>
      <c r="N147" s="69"/>
      <c r="O147" s="69"/>
      <c r="P147" s="76">
        <f t="shared" si="23"/>
        <v>466953</v>
      </c>
    </row>
    <row r="148" spans="1:16" ht="16.5" hidden="1">
      <c r="A148" s="24"/>
      <c r="B148" s="38">
        <v>150000</v>
      </c>
      <c r="C148" s="62"/>
      <c r="D148" s="40" t="s">
        <v>101</v>
      </c>
      <c r="E148" s="47"/>
      <c r="F148" s="47"/>
      <c r="G148" s="47"/>
      <c r="H148" s="47"/>
      <c r="I148" s="47"/>
      <c r="J148" s="49"/>
      <c r="K148" s="47"/>
      <c r="L148" s="47"/>
      <c r="M148" s="47"/>
      <c r="N148" s="47"/>
      <c r="O148" s="47"/>
      <c r="P148" s="42">
        <f t="shared" si="23"/>
        <v>0</v>
      </c>
    </row>
    <row r="149" spans="1:16" ht="25.5" hidden="1">
      <c r="A149" s="24"/>
      <c r="B149" s="43" t="s">
        <v>26</v>
      </c>
      <c r="C149" s="44" t="s">
        <v>199</v>
      </c>
      <c r="D149" s="45" t="s">
        <v>103</v>
      </c>
      <c r="E149" s="47"/>
      <c r="F149" s="47"/>
      <c r="G149" s="47"/>
      <c r="H149" s="47"/>
      <c r="I149" s="47"/>
      <c r="J149" s="49"/>
      <c r="K149" s="47"/>
      <c r="L149" s="47"/>
      <c r="M149" s="47"/>
      <c r="N149" s="47"/>
      <c r="O149" s="47"/>
      <c r="P149" s="42">
        <f t="shared" si="23"/>
        <v>0</v>
      </c>
    </row>
    <row r="150" spans="1:16" s="17" customFormat="1" ht="25.5" hidden="1">
      <c r="A150" s="23"/>
      <c r="B150" s="63" t="s">
        <v>74</v>
      </c>
      <c r="C150" s="39"/>
      <c r="D150" s="40" t="s">
        <v>112</v>
      </c>
      <c r="E150" s="41"/>
      <c r="F150" s="41"/>
      <c r="G150" s="41"/>
      <c r="H150" s="41"/>
      <c r="I150" s="41"/>
      <c r="J150" s="49"/>
      <c r="K150" s="41"/>
      <c r="L150" s="41"/>
      <c r="M150" s="41"/>
      <c r="N150" s="41"/>
      <c r="O150" s="41"/>
      <c r="P150" s="42">
        <f t="shared" si="23"/>
        <v>0</v>
      </c>
    </row>
    <row r="151" spans="1:16" ht="16.5" hidden="1">
      <c r="A151" s="24"/>
      <c r="B151" s="43" t="s">
        <v>75</v>
      </c>
      <c r="C151" s="44" t="s">
        <v>203</v>
      </c>
      <c r="D151" s="61" t="s">
        <v>113</v>
      </c>
      <c r="E151" s="47"/>
      <c r="F151" s="47"/>
      <c r="G151" s="47"/>
      <c r="H151" s="47"/>
      <c r="I151" s="47"/>
      <c r="J151" s="49"/>
      <c r="K151" s="47"/>
      <c r="L151" s="47"/>
      <c r="M151" s="47"/>
      <c r="N151" s="47"/>
      <c r="O151" s="47"/>
      <c r="P151" s="42">
        <f t="shared" si="23"/>
        <v>0</v>
      </c>
    </row>
    <row r="152" spans="1:16" s="17" customFormat="1" ht="51">
      <c r="A152" s="23"/>
      <c r="B152" s="70" t="s">
        <v>78</v>
      </c>
      <c r="C152" s="81"/>
      <c r="D152" s="72" t="s">
        <v>173</v>
      </c>
      <c r="E152" s="73">
        <f>E153+E155</f>
        <v>900503</v>
      </c>
      <c r="F152" s="73">
        <f aca="true" t="shared" si="35" ref="F152:O152">F153+F155</f>
        <v>900503</v>
      </c>
      <c r="G152" s="73">
        <f t="shared" si="35"/>
        <v>804040</v>
      </c>
      <c r="H152" s="73">
        <f t="shared" si="35"/>
        <v>73439</v>
      </c>
      <c r="I152" s="73">
        <f t="shared" si="35"/>
        <v>0</v>
      </c>
      <c r="J152" s="73">
        <f t="shared" si="35"/>
        <v>0</v>
      </c>
      <c r="K152" s="73">
        <f t="shared" si="35"/>
        <v>0</v>
      </c>
      <c r="L152" s="73">
        <f t="shared" si="35"/>
        <v>0</v>
      </c>
      <c r="M152" s="73">
        <f t="shared" si="35"/>
        <v>0</v>
      </c>
      <c r="N152" s="73">
        <f t="shared" si="35"/>
        <v>0</v>
      </c>
      <c r="O152" s="73">
        <f t="shared" si="35"/>
        <v>0</v>
      </c>
      <c r="P152" s="76">
        <f t="shared" si="23"/>
        <v>900503</v>
      </c>
    </row>
    <row r="153" spans="1:16" s="17" customFormat="1" ht="16.5">
      <c r="A153" s="19"/>
      <c r="B153" s="70" t="s">
        <v>14</v>
      </c>
      <c r="C153" s="81"/>
      <c r="D153" s="72" t="s">
        <v>83</v>
      </c>
      <c r="E153" s="73">
        <f aca="true" t="shared" si="36" ref="E153:O153">E154</f>
        <v>880794</v>
      </c>
      <c r="F153" s="73">
        <f t="shared" si="36"/>
        <v>880794</v>
      </c>
      <c r="G153" s="73">
        <f t="shared" si="36"/>
        <v>804040</v>
      </c>
      <c r="H153" s="73">
        <f t="shared" si="36"/>
        <v>53730</v>
      </c>
      <c r="I153" s="73">
        <f t="shared" si="36"/>
        <v>0</v>
      </c>
      <c r="J153" s="73">
        <f t="shared" si="36"/>
        <v>0</v>
      </c>
      <c r="K153" s="73">
        <f t="shared" si="36"/>
        <v>0</v>
      </c>
      <c r="L153" s="73">
        <f t="shared" si="36"/>
        <v>0</v>
      </c>
      <c r="M153" s="73">
        <f t="shared" si="36"/>
        <v>0</v>
      </c>
      <c r="N153" s="73">
        <f t="shared" si="36"/>
        <v>0</v>
      </c>
      <c r="O153" s="73">
        <f t="shared" si="36"/>
        <v>0</v>
      </c>
      <c r="P153" s="76">
        <f t="shared" si="23"/>
        <v>880794</v>
      </c>
    </row>
    <row r="154" spans="2:16" ht="16.5">
      <c r="B154" s="74" t="s">
        <v>10</v>
      </c>
      <c r="C154" s="71" t="s">
        <v>188</v>
      </c>
      <c r="D154" s="75" t="s">
        <v>84</v>
      </c>
      <c r="E154" s="69">
        <f>F154</f>
        <v>880794</v>
      </c>
      <c r="F154" s="69">
        <f>G154+H154+23024</f>
        <v>880794</v>
      </c>
      <c r="G154" s="69">
        <f>659049+144991</f>
        <v>804040</v>
      </c>
      <c r="H154" s="69">
        <v>53730</v>
      </c>
      <c r="I154" s="69"/>
      <c r="J154" s="68"/>
      <c r="K154" s="69"/>
      <c r="L154" s="69"/>
      <c r="M154" s="69"/>
      <c r="N154" s="69"/>
      <c r="O154" s="69"/>
      <c r="P154" s="76">
        <f t="shared" si="23"/>
        <v>880794</v>
      </c>
    </row>
    <row r="155" spans="1:16" s="17" customFormat="1" ht="31.5">
      <c r="A155" s="19"/>
      <c r="B155" s="100" t="s">
        <v>232</v>
      </c>
      <c r="C155" s="81"/>
      <c r="D155" s="102" t="s">
        <v>234</v>
      </c>
      <c r="E155" s="73">
        <f aca="true" t="shared" si="37" ref="E155:O155">E156</f>
        <v>19709</v>
      </c>
      <c r="F155" s="73">
        <f t="shared" si="37"/>
        <v>19709</v>
      </c>
      <c r="G155" s="73">
        <f t="shared" si="37"/>
        <v>0</v>
      </c>
      <c r="H155" s="73">
        <f t="shared" si="37"/>
        <v>19709</v>
      </c>
      <c r="I155" s="73">
        <f t="shared" si="37"/>
        <v>0</v>
      </c>
      <c r="J155" s="73">
        <f t="shared" si="37"/>
        <v>0</v>
      </c>
      <c r="K155" s="73">
        <f t="shared" si="37"/>
        <v>0</v>
      </c>
      <c r="L155" s="73">
        <f t="shared" si="37"/>
        <v>0</v>
      </c>
      <c r="M155" s="73">
        <f t="shared" si="37"/>
        <v>0</v>
      </c>
      <c r="N155" s="73">
        <f t="shared" si="37"/>
        <v>0</v>
      </c>
      <c r="O155" s="73">
        <f t="shared" si="37"/>
        <v>0</v>
      </c>
      <c r="P155" s="76">
        <f t="shared" si="23"/>
        <v>19709</v>
      </c>
    </row>
    <row r="156" spans="2:16" ht="32.25" thickBot="1">
      <c r="B156" s="82" t="s">
        <v>233</v>
      </c>
      <c r="C156" s="83" t="s">
        <v>235</v>
      </c>
      <c r="D156" s="103" t="s">
        <v>236</v>
      </c>
      <c r="E156" s="85">
        <f>F156</f>
        <v>19709</v>
      </c>
      <c r="F156" s="85">
        <v>19709</v>
      </c>
      <c r="G156" s="85"/>
      <c r="H156" s="85">
        <v>19709</v>
      </c>
      <c r="I156" s="85"/>
      <c r="J156" s="94"/>
      <c r="K156" s="85"/>
      <c r="L156" s="85"/>
      <c r="M156" s="85"/>
      <c r="N156" s="85"/>
      <c r="O156" s="85"/>
      <c r="P156" s="95">
        <f t="shared" si="23"/>
        <v>19709</v>
      </c>
    </row>
    <row r="157" spans="1:16" s="17" customFormat="1" ht="25.5">
      <c r="A157" s="19"/>
      <c r="B157" s="89" t="s">
        <v>79</v>
      </c>
      <c r="C157" s="90"/>
      <c r="D157" s="91" t="s">
        <v>174</v>
      </c>
      <c r="E157" s="92">
        <f>E158+E160</f>
        <v>11377681</v>
      </c>
      <c r="F157" s="92">
        <f aca="true" t="shared" si="38" ref="F157:O157">F158+F160</f>
        <v>11377681</v>
      </c>
      <c r="G157" s="92">
        <f t="shared" si="38"/>
        <v>1018712</v>
      </c>
      <c r="H157" s="92">
        <f t="shared" si="38"/>
        <v>58727</v>
      </c>
      <c r="I157" s="92">
        <f t="shared" si="38"/>
        <v>0</v>
      </c>
      <c r="J157" s="92">
        <f t="shared" si="38"/>
        <v>0</v>
      </c>
      <c r="K157" s="92">
        <f t="shared" si="38"/>
        <v>0</v>
      </c>
      <c r="L157" s="92">
        <f t="shared" si="38"/>
        <v>0</v>
      </c>
      <c r="M157" s="92">
        <f t="shared" si="38"/>
        <v>0</v>
      </c>
      <c r="N157" s="92">
        <f t="shared" si="38"/>
        <v>0</v>
      </c>
      <c r="O157" s="92">
        <f t="shared" si="38"/>
        <v>0</v>
      </c>
      <c r="P157" s="93">
        <f t="shared" si="23"/>
        <v>11377681</v>
      </c>
    </row>
    <row r="158" spans="1:16" s="17" customFormat="1" ht="16.5">
      <c r="A158" s="19"/>
      <c r="B158" s="70" t="s">
        <v>14</v>
      </c>
      <c r="C158" s="81"/>
      <c r="D158" s="72" t="s">
        <v>83</v>
      </c>
      <c r="E158" s="73">
        <f>E159</f>
        <v>1143281</v>
      </c>
      <c r="F158" s="73">
        <f aca="true" t="shared" si="39" ref="F158:O158">F159</f>
        <v>1143281</v>
      </c>
      <c r="G158" s="73">
        <f t="shared" si="39"/>
        <v>1018712</v>
      </c>
      <c r="H158" s="73">
        <f t="shared" si="39"/>
        <v>58727</v>
      </c>
      <c r="I158" s="73">
        <f t="shared" si="39"/>
        <v>0</v>
      </c>
      <c r="J158" s="73">
        <f t="shared" si="39"/>
        <v>0</v>
      </c>
      <c r="K158" s="73">
        <f t="shared" si="39"/>
        <v>0</v>
      </c>
      <c r="L158" s="73">
        <f t="shared" si="39"/>
        <v>0</v>
      </c>
      <c r="M158" s="73">
        <f t="shared" si="39"/>
        <v>0</v>
      </c>
      <c r="N158" s="73">
        <f t="shared" si="39"/>
        <v>0</v>
      </c>
      <c r="O158" s="73">
        <f t="shared" si="39"/>
        <v>0</v>
      </c>
      <c r="P158" s="76">
        <f t="shared" si="23"/>
        <v>1143281</v>
      </c>
    </row>
    <row r="159" spans="2:16" ht="16.5">
      <c r="B159" s="74" t="s">
        <v>10</v>
      </c>
      <c r="C159" s="71" t="s">
        <v>188</v>
      </c>
      <c r="D159" s="75" t="s">
        <v>84</v>
      </c>
      <c r="E159" s="69">
        <f>F159</f>
        <v>1143281</v>
      </c>
      <c r="F159" s="69">
        <f>G159+H159+46113+16669+3060</f>
        <v>1143281</v>
      </c>
      <c r="G159" s="69">
        <f>835010+183702</f>
        <v>1018712</v>
      </c>
      <c r="H159" s="69">
        <v>58727</v>
      </c>
      <c r="I159" s="69"/>
      <c r="J159" s="68"/>
      <c r="K159" s="69"/>
      <c r="L159" s="69"/>
      <c r="M159" s="69"/>
      <c r="N159" s="69"/>
      <c r="O159" s="69"/>
      <c r="P159" s="76">
        <f aca="true" t="shared" si="40" ref="P159:P172">E159+J159</f>
        <v>1143281</v>
      </c>
    </row>
    <row r="160" spans="2:16" ht="25.5">
      <c r="B160" s="70" t="s">
        <v>74</v>
      </c>
      <c r="C160" s="77"/>
      <c r="D160" s="72" t="s">
        <v>112</v>
      </c>
      <c r="E160" s="68">
        <f>E161</f>
        <v>10234400</v>
      </c>
      <c r="F160" s="68">
        <f aca="true" t="shared" si="41" ref="F160:O160">F161</f>
        <v>10234400</v>
      </c>
      <c r="G160" s="68">
        <f t="shared" si="41"/>
        <v>0</v>
      </c>
      <c r="H160" s="68">
        <f t="shared" si="41"/>
        <v>0</v>
      </c>
      <c r="I160" s="68">
        <f t="shared" si="41"/>
        <v>0</v>
      </c>
      <c r="J160" s="68">
        <f t="shared" si="41"/>
        <v>0</v>
      </c>
      <c r="K160" s="68">
        <f t="shared" si="41"/>
        <v>0</v>
      </c>
      <c r="L160" s="68">
        <f t="shared" si="41"/>
        <v>0</v>
      </c>
      <c r="M160" s="68">
        <f t="shared" si="41"/>
        <v>0</v>
      </c>
      <c r="N160" s="68">
        <f t="shared" si="41"/>
        <v>0</v>
      </c>
      <c r="O160" s="68">
        <f t="shared" si="41"/>
        <v>0</v>
      </c>
      <c r="P160" s="76">
        <f t="shared" si="40"/>
        <v>10234400</v>
      </c>
    </row>
    <row r="161" spans="1:16" s="17" customFormat="1" ht="16.5">
      <c r="A161" s="19"/>
      <c r="B161" s="162" t="s">
        <v>80</v>
      </c>
      <c r="C161" s="168" t="s">
        <v>213</v>
      </c>
      <c r="D161" s="107" t="s">
        <v>175</v>
      </c>
      <c r="E161" s="73">
        <f>E162+E166</f>
        <v>10234400</v>
      </c>
      <c r="F161" s="73">
        <f>F162+F166</f>
        <v>10234400</v>
      </c>
      <c r="G161" s="73">
        <f aca="true" t="shared" si="42" ref="G161:O161">G162+G166</f>
        <v>0</v>
      </c>
      <c r="H161" s="73">
        <f t="shared" si="42"/>
        <v>0</v>
      </c>
      <c r="I161" s="73">
        <f t="shared" si="42"/>
        <v>0</v>
      </c>
      <c r="J161" s="73">
        <f t="shared" si="42"/>
        <v>0</v>
      </c>
      <c r="K161" s="73">
        <f t="shared" si="42"/>
        <v>0</v>
      </c>
      <c r="L161" s="73">
        <f t="shared" si="42"/>
        <v>0</v>
      </c>
      <c r="M161" s="73">
        <f t="shared" si="42"/>
        <v>0</v>
      </c>
      <c r="N161" s="73">
        <f t="shared" si="42"/>
        <v>0</v>
      </c>
      <c r="O161" s="73">
        <f t="shared" si="42"/>
        <v>0</v>
      </c>
      <c r="P161" s="76">
        <f t="shared" si="40"/>
        <v>10234400</v>
      </c>
    </row>
    <row r="162" spans="1:16" s="21" customFormat="1" ht="16.5">
      <c r="A162" s="20"/>
      <c r="B162" s="163"/>
      <c r="C162" s="169"/>
      <c r="D162" s="108" t="s">
        <v>225</v>
      </c>
      <c r="E162" s="68">
        <f>E163+E164+E165</f>
        <v>9023100</v>
      </c>
      <c r="F162" s="68">
        <f>F163+F164+F165</f>
        <v>9023100</v>
      </c>
      <c r="G162" s="68">
        <f aca="true" t="shared" si="43" ref="G162:O162">G163+G164+G165</f>
        <v>0</v>
      </c>
      <c r="H162" s="68">
        <f t="shared" si="43"/>
        <v>0</v>
      </c>
      <c r="I162" s="68">
        <f t="shared" si="43"/>
        <v>0</v>
      </c>
      <c r="J162" s="68">
        <f t="shared" si="43"/>
        <v>0</v>
      </c>
      <c r="K162" s="68">
        <f t="shared" si="43"/>
        <v>0</v>
      </c>
      <c r="L162" s="68">
        <f t="shared" si="43"/>
        <v>0</v>
      </c>
      <c r="M162" s="68">
        <f t="shared" si="43"/>
        <v>0</v>
      </c>
      <c r="N162" s="68">
        <f t="shared" si="43"/>
        <v>0</v>
      </c>
      <c r="O162" s="68">
        <f t="shared" si="43"/>
        <v>0</v>
      </c>
      <c r="P162" s="109">
        <f t="shared" si="40"/>
        <v>9023100</v>
      </c>
    </row>
    <row r="163" spans="2:16" ht="16.5">
      <c r="B163" s="163"/>
      <c r="C163" s="169"/>
      <c r="D163" s="110" t="s">
        <v>176</v>
      </c>
      <c r="E163" s="69">
        <f>F163</f>
        <v>5366600</v>
      </c>
      <c r="F163" s="69">
        <v>5366600</v>
      </c>
      <c r="G163" s="69"/>
      <c r="H163" s="69"/>
      <c r="I163" s="69"/>
      <c r="J163" s="68"/>
      <c r="K163" s="69"/>
      <c r="L163" s="69"/>
      <c r="M163" s="69"/>
      <c r="N163" s="69"/>
      <c r="O163" s="69"/>
      <c r="P163" s="76">
        <f t="shared" si="40"/>
        <v>5366600</v>
      </c>
    </row>
    <row r="164" spans="2:16" ht="16.5">
      <c r="B164" s="163"/>
      <c r="C164" s="169"/>
      <c r="D164" s="110" t="s">
        <v>177</v>
      </c>
      <c r="E164" s="69">
        <f>F164</f>
        <v>2067300</v>
      </c>
      <c r="F164" s="69">
        <v>2067300</v>
      </c>
      <c r="G164" s="69"/>
      <c r="H164" s="69"/>
      <c r="I164" s="69"/>
      <c r="J164" s="68"/>
      <c r="K164" s="69"/>
      <c r="L164" s="69"/>
      <c r="M164" s="69"/>
      <c r="N164" s="69"/>
      <c r="O164" s="69"/>
      <c r="P164" s="76">
        <f t="shared" si="40"/>
        <v>2067300</v>
      </c>
    </row>
    <row r="165" spans="2:16" ht="16.5">
      <c r="B165" s="163"/>
      <c r="C165" s="169"/>
      <c r="D165" s="110" t="s">
        <v>178</v>
      </c>
      <c r="E165" s="69">
        <f>F165</f>
        <v>1589200</v>
      </c>
      <c r="F165" s="69">
        <v>1589200</v>
      </c>
      <c r="G165" s="69"/>
      <c r="H165" s="69"/>
      <c r="I165" s="69"/>
      <c r="J165" s="68"/>
      <c r="K165" s="69"/>
      <c r="L165" s="69"/>
      <c r="M165" s="69"/>
      <c r="N165" s="69"/>
      <c r="O165" s="69"/>
      <c r="P165" s="76">
        <f t="shared" si="40"/>
        <v>1589200</v>
      </c>
    </row>
    <row r="166" spans="1:16" s="21" customFormat="1" ht="38.25">
      <c r="A166" s="20"/>
      <c r="B166" s="163"/>
      <c r="C166" s="169"/>
      <c r="D166" s="108" t="s">
        <v>187</v>
      </c>
      <c r="E166" s="68">
        <f>E167+E168+E169</f>
        <v>1211300</v>
      </c>
      <c r="F166" s="68">
        <f>F167+F168+F169</f>
        <v>1211300</v>
      </c>
      <c r="G166" s="68">
        <f aca="true" t="shared" si="44" ref="G166:O166">G167+G168+G169</f>
        <v>0</v>
      </c>
      <c r="H166" s="68">
        <f t="shared" si="44"/>
        <v>0</v>
      </c>
      <c r="I166" s="68">
        <f t="shared" si="44"/>
        <v>0</v>
      </c>
      <c r="J166" s="68">
        <f t="shared" si="44"/>
        <v>0</v>
      </c>
      <c r="K166" s="68">
        <f t="shared" si="44"/>
        <v>0</v>
      </c>
      <c r="L166" s="68">
        <f t="shared" si="44"/>
        <v>0</v>
      </c>
      <c r="M166" s="68">
        <f t="shared" si="44"/>
        <v>0</v>
      </c>
      <c r="N166" s="68">
        <f t="shared" si="44"/>
        <v>0</v>
      </c>
      <c r="O166" s="68">
        <f t="shared" si="44"/>
        <v>0</v>
      </c>
      <c r="P166" s="76">
        <f t="shared" si="40"/>
        <v>1211300</v>
      </c>
    </row>
    <row r="167" spans="2:16" ht="16.5">
      <c r="B167" s="163"/>
      <c r="C167" s="169"/>
      <c r="D167" s="110" t="s">
        <v>176</v>
      </c>
      <c r="E167" s="69">
        <f>F167</f>
        <v>636300</v>
      </c>
      <c r="F167" s="69">
        <v>636300</v>
      </c>
      <c r="G167" s="69"/>
      <c r="H167" s="69"/>
      <c r="I167" s="69"/>
      <c r="J167" s="68"/>
      <c r="K167" s="69"/>
      <c r="L167" s="69"/>
      <c r="M167" s="69"/>
      <c r="N167" s="69"/>
      <c r="O167" s="69"/>
      <c r="P167" s="76">
        <f t="shared" si="40"/>
        <v>636300</v>
      </c>
    </row>
    <row r="168" spans="2:16" ht="16.5">
      <c r="B168" s="163"/>
      <c r="C168" s="169"/>
      <c r="D168" s="110" t="s">
        <v>177</v>
      </c>
      <c r="E168" s="69">
        <f>F168</f>
        <v>283200</v>
      </c>
      <c r="F168" s="69">
        <v>283200</v>
      </c>
      <c r="G168" s="69"/>
      <c r="H168" s="69"/>
      <c r="I168" s="69"/>
      <c r="J168" s="68"/>
      <c r="K168" s="69"/>
      <c r="L168" s="69"/>
      <c r="M168" s="69"/>
      <c r="N168" s="69"/>
      <c r="O168" s="69"/>
      <c r="P168" s="76">
        <f t="shared" si="40"/>
        <v>283200</v>
      </c>
    </row>
    <row r="169" spans="2:16" ht="17.25" thickBot="1">
      <c r="B169" s="164"/>
      <c r="C169" s="170"/>
      <c r="D169" s="111" t="s">
        <v>178</v>
      </c>
      <c r="E169" s="69">
        <f>F169</f>
        <v>291800</v>
      </c>
      <c r="F169" s="85">
        <v>291800</v>
      </c>
      <c r="G169" s="85"/>
      <c r="H169" s="85"/>
      <c r="I169" s="85"/>
      <c r="J169" s="94"/>
      <c r="K169" s="85"/>
      <c r="L169" s="85"/>
      <c r="M169" s="85"/>
      <c r="N169" s="85"/>
      <c r="O169" s="85"/>
      <c r="P169" s="95">
        <f t="shared" si="40"/>
        <v>291800</v>
      </c>
    </row>
    <row r="170" spans="1:16" s="17" customFormat="1" ht="25.5">
      <c r="A170" s="19"/>
      <c r="B170" s="89" t="s">
        <v>81</v>
      </c>
      <c r="C170" s="90"/>
      <c r="D170" s="91" t="s">
        <v>174</v>
      </c>
      <c r="E170" s="92">
        <f>E171</f>
        <v>50000</v>
      </c>
      <c r="F170" s="92"/>
      <c r="G170" s="92"/>
      <c r="H170" s="92"/>
      <c r="I170" s="92"/>
      <c r="J170" s="104"/>
      <c r="K170" s="92"/>
      <c r="L170" s="92"/>
      <c r="M170" s="92"/>
      <c r="N170" s="92"/>
      <c r="O170" s="92"/>
      <c r="P170" s="93">
        <f t="shared" si="40"/>
        <v>50000</v>
      </c>
    </row>
    <row r="171" spans="1:16" s="17" customFormat="1" ht="25.5">
      <c r="A171" s="19"/>
      <c r="B171" s="70" t="s">
        <v>74</v>
      </c>
      <c r="C171" s="81"/>
      <c r="D171" s="72" t="s">
        <v>112</v>
      </c>
      <c r="E171" s="73">
        <f>E172</f>
        <v>50000</v>
      </c>
      <c r="F171" s="73"/>
      <c r="G171" s="73"/>
      <c r="H171" s="73"/>
      <c r="I171" s="73"/>
      <c r="J171" s="68"/>
      <c r="K171" s="73"/>
      <c r="L171" s="73"/>
      <c r="M171" s="73"/>
      <c r="N171" s="73"/>
      <c r="O171" s="73"/>
      <c r="P171" s="76">
        <f t="shared" si="40"/>
        <v>50000</v>
      </c>
    </row>
    <row r="172" spans="2:16" ht="17.25" thickBot="1">
      <c r="B172" s="105">
        <v>250102</v>
      </c>
      <c r="C172" s="83" t="s">
        <v>203</v>
      </c>
      <c r="D172" s="106" t="s">
        <v>179</v>
      </c>
      <c r="E172" s="85">
        <v>50000</v>
      </c>
      <c r="F172" s="85"/>
      <c r="G172" s="85"/>
      <c r="H172" s="85"/>
      <c r="I172" s="85"/>
      <c r="J172" s="94"/>
      <c r="K172" s="85"/>
      <c r="L172" s="85"/>
      <c r="M172" s="85"/>
      <c r="N172" s="85"/>
      <c r="O172" s="85"/>
      <c r="P172" s="95">
        <f t="shared" si="40"/>
        <v>50000</v>
      </c>
    </row>
    <row r="173" spans="2:16" ht="16.5" hidden="1">
      <c r="B173" s="64"/>
      <c r="C173" s="65"/>
      <c r="D173" s="66"/>
      <c r="E173" s="55"/>
      <c r="F173" s="55"/>
      <c r="G173" s="55"/>
      <c r="H173" s="55"/>
      <c r="I173" s="55"/>
      <c r="J173" s="56"/>
      <c r="K173" s="55"/>
      <c r="L173" s="55"/>
      <c r="M173" s="55"/>
      <c r="N173" s="55"/>
      <c r="O173" s="55"/>
      <c r="P173" s="57"/>
    </row>
    <row r="174" spans="2:16" ht="38.25" customHeight="1">
      <c r="B174" s="127"/>
      <c r="C174" s="128"/>
      <c r="D174" s="129" t="s">
        <v>244</v>
      </c>
      <c r="E174" s="130">
        <v>16912129</v>
      </c>
      <c r="F174" s="130"/>
      <c r="G174" s="130"/>
      <c r="H174" s="130"/>
      <c r="I174" s="130"/>
      <c r="J174" s="131"/>
      <c r="K174" s="130"/>
      <c r="L174" s="130"/>
      <c r="M174" s="130"/>
      <c r="N174" s="130"/>
      <c r="O174" s="130"/>
      <c r="P174" s="132"/>
    </row>
    <row r="175" spans="1:16" s="17" customFormat="1" ht="17.25" thickBot="1">
      <c r="A175" s="19"/>
      <c r="B175" s="122"/>
      <c r="C175" s="123"/>
      <c r="D175" s="124" t="s">
        <v>186</v>
      </c>
      <c r="E175" s="94">
        <f>E13+E54+E70+E82+E128+E142+E145+E152+E157+E170+E173+E174</f>
        <v>359583237</v>
      </c>
      <c r="F175" s="94">
        <f aca="true" t="shared" si="45" ref="F175:P175">F13+F54+F70+F82+F128+F142+F145+F152+F157+F170+F173+F174</f>
        <v>342621108</v>
      </c>
      <c r="G175" s="94">
        <f t="shared" si="45"/>
        <v>143312503</v>
      </c>
      <c r="H175" s="94">
        <f t="shared" si="45"/>
        <v>32068313</v>
      </c>
      <c r="I175" s="94">
        <f t="shared" si="45"/>
        <v>0</v>
      </c>
      <c r="J175" s="94">
        <f t="shared" si="45"/>
        <v>6517148</v>
      </c>
      <c r="K175" s="94">
        <f t="shared" si="45"/>
        <v>4502774</v>
      </c>
      <c r="L175" s="94">
        <f t="shared" si="45"/>
        <v>1457303</v>
      </c>
      <c r="M175" s="94">
        <f t="shared" si="45"/>
        <v>35899</v>
      </c>
      <c r="N175" s="94">
        <f t="shared" si="45"/>
        <v>2014374</v>
      </c>
      <c r="O175" s="94">
        <f t="shared" si="45"/>
        <v>1813374</v>
      </c>
      <c r="P175" s="94">
        <f t="shared" si="45"/>
        <v>351541821</v>
      </c>
    </row>
    <row r="176" spans="1:16" s="17" customFormat="1" ht="16.5">
      <c r="A176" s="19"/>
      <c r="B176" s="33"/>
      <c r="C176" s="34"/>
      <c r="D176" s="35"/>
      <c r="E176" s="36"/>
      <c r="F176" s="36"/>
      <c r="G176" s="36"/>
      <c r="H176" s="36"/>
      <c r="I176" s="36"/>
      <c r="J176" s="36"/>
      <c r="K176" s="36"/>
      <c r="L176" s="36"/>
      <c r="M176" s="36"/>
      <c r="N176" s="36"/>
      <c r="O176" s="36"/>
      <c r="P176" s="37"/>
    </row>
    <row r="177" spans="1:16" s="17" customFormat="1" ht="16.5">
      <c r="A177" s="19"/>
      <c r="B177" s="33"/>
      <c r="C177" s="34"/>
      <c r="D177" s="35"/>
      <c r="E177" s="36"/>
      <c r="F177" s="36"/>
      <c r="G177" s="36"/>
      <c r="H177" s="36"/>
      <c r="I177" s="36"/>
      <c r="J177" s="36"/>
      <c r="K177" s="36"/>
      <c r="L177" s="36"/>
      <c r="M177" s="36"/>
      <c r="N177" s="36"/>
      <c r="O177" s="36"/>
      <c r="P177" s="37"/>
    </row>
    <row r="178" spans="2:16" ht="16.5">
      <c r="B178" s="32" t="s">
        <v>218</v>
      </c>
      <c r="E178" s="16"/>
      <c r="F178" s="16"/>
      <c r="G178" s="16"/>
      <c r="H178" s="16"/>
      <c r="I178" s="16"/>
      <c r="J178" s="16"/>
      <c r="K178" s="16"/>
      <c r="L178" s="16"/>
      <c r="M178" s="16"/>
      <c r="N178" s="16"/>
      <c r="O178" s="16" t="s">
        <v>219</v>
      </c>
      <c r="P178" s="16"/>
    </row>
    <row r="180" spans="5:16" ht="16.5">
      <c r="E180" s="16"/>
      <c r="F180" s="16"/>
      <c r="G180" s="16"/>
      <c r="H180" s="16"/>
      <c r="I180" s="16"/>
      <c r="J180" s="16"/>
      <c r="K180" s="16"/>
      <c r="L180" s="16"/>
      <c r="M180" s="16"/>
      <c r="N180" s="16"/>
      <c r="O180" s="16"/>
      <c r="P180" s="16"/>
    </row>
    <row r="181" spans="5:16" ht="16.5">
      <c r="E181" s="16"/>
      <c r="F181" s="16"/>
      <c r="G181" s="16"/>
      <c r="H181" s="16"/>
      <c r="I181" s="16"/>
      <c r="J181" s="16"/>
      <c r="K181" s="16"/>
      <c r="L181" s="16"/>
      <c r="M181" s="16"/>
      <c r="N181" s="16"/>
      <c r="O181" s="16"/>
      <c r="P181" s="16"/>
    </row>
    <row r="182" spans="5:16" ht="16.5">
      <c r="E182" s="16"/>
      <c r="F182" s="16"/>
      <c r="G182" s="16"/>
      <c r="H182" s="16"/>
      <c r="I182" s="16"/>
      <c r="J182" s="16"/>
      <c r="K182" s="16"/>
      <c r="L182" s="16"/>
      <c r="M182" s="16"/>
      <c r="N182" s="16"/>
      <c r="O182" s="16"/>
      <c r="P182" s="16"/>
    </row>
    <row r="183" spans="5:16" ht="16.5">
      <c r="E183" s="16"/>
      <c r="F183" s="16"/>
      <c r="G183" s="16"/>
      <c r="H183" s="16"/>
      <c r="I183" s="16"/>
      <c r="J183" s="16"/>
      <c r="K183" s="16"/>
      <c r="L183" s="16"/>
      <c r="M183" s="16"/>
      <c r="N183" s="16"/>
      <c r="O183" s="16"/>
      <c r="P183" s="16"/>
    </row>
    <row r="184" spans="5:16" ht="16.5">
      <c r="E184" s="16"/>
      <c r="F184" s="16"/>
      <c r="G184" s="16"/>
      <c r="H184" s="16"/>
      <c r="I184" s="16"/>
      <c r="J184" s="16"/>
      <c r="K184" s="16"/>
      <c r="L184" s="16"/>
      <c r="M184" s="16"/>
      <c r="N184" s="16"/>
      <c r="O184" s="16"/>
      <c r="P184" s="16"/>
    </row>
    <row r="185" spans="5:16" ht="16.5">
      <c r="E185" s="16"/>
      <c r="F185" s="16"/>
      <c r="G185" s="16"/>
      <c r="H185" s="16"/>
      <c r="I185" s="16"/>
      <c r="J185" s="16"/>
      <c r="K185" s="16"/>
      <c r="L185" s="16"/>
      <c r="M185" s="16"/>
      <c r="N185" s="16"/>
      <c r="O185" s="16"/>
      <c r="P185" s="16"/>
    </row>
    <row r="187" spans="5:16" ht="16.5">
      <c r="E187" s="16"/>
      <c r="F187" s="16"/>
      <c r="G187" s="16"/>
      <c r="H187" s="16"/>
      <c r="I187" s="16"/>
      <c r="J187" s="16"/>
      <c r="K187" s="16"/>
      <c r="L187" s="16"/>
      <c r="M187" s="16"/>
      <c r="N187" s="16"/>
      <c r="O187" s="16"/>
      <c r="P187" s="16"/>
    </row>
    <row r="188" spans="5:16" ht="16.5">
      <c r="E188" s="16"/>
      <c r="F188" s="16"/>
      <c r="G188" s="16"/>
      <c r="H188" s="16"/>
      <c r="I188" s="16"/>
      <c r="J188" s="16"/>
      <c r="K188" s="16"/>
      <c r="L188" s="16"/>
      <c r="M188" s="16"/>
      <c r="N188" s="16"/>
      <c r="O188" s="16"/>
      <c r="P188" s="16"/>
    </row>
    <row r="189" spans="4:16" ht="16.5">
      <c r="D189" s="67" t="s">
        <v>237</v>
      </c>
      <c r="E189" s="16">
        <f>E88+E91+E93+E96+E100+E110</f>
        <v>56866200</v>
      </c>
      <c r="F189" s="16">
        <f>E189+E190+E191+E192+E90+E95+E99+E113+E115+E117+E118+E119+E120+E121</f>
        <v>135168623</v>
      </c>
      <c r="G189" s="16"/>
      <c r="H189" s="16"/>
      <c r="I189" s="16"/>
      <c r="J189" s="16"/>
      <c r="K189" s="16"/>
      <c r="L189" s="16"/>
      <c r="M189" s="16"/>
      <c r="N189" s="16"/>
      <c r="O189" s="16"/>
      <c r="P189" s="16"/>
    </row>
    <row r="190" spans="4:16" ht="16.5">
      <c r="D190" s="67" t="s">
        <v>238</v>
      </c>
      <c r="E190" s="16">
        <f>E102+E103+E104+E105+E106+E107+E108+E109+E114+E122</f>
        <v>73304500</v>
      </c>
      <c r="F190" s="16"/>
      <c r="G190" s="16"/>
      <c r="H190" s="16"/>
      <c r="I190" s="16"/>
      <c r="J190" s="16"/>
      <c r="K190" s="16"/>
      <c r="L190" s="16"/>
      <c r="M190" s="16"/>
      <c r="N190" s="16"/>
      <c r="O190" s="16"/>
      <c r="P190" s="16"/>
    </row>
    <row r="191" spans="4:16" ht="16.5">
      <c r="D191" s="67" t="s">
        <v>239</v>
      </c>
      <c r="E191" s="16">
        <f>E89+E94+E97+E101+E111</f>
        <v>389900</v>
      </c>
      <c r="F191" s="16"/>
      <c r="G191" s="16"/>
      <c r="H191" s="16"/>
      <c r="I191" s="16"/>
      <c r="J191" s="16"/>
      <c r="K191" s="16"/>
      <c r="L191" s="16"/>
      <c r="M191" s="16"/>
      <c r="N191" s="16"/>
      <c r="O191" s="16"/>
      <c r="P191" s="16"/>
    </row>
    <row r="192" spans="4:16" ht="16.5">
      <c r="D192" s="67" t="s">
        <v>240</v>
      </c>
      <c r="E192" s="16">
        <f>E98+E116</f>
        <v>89910</v>
      </c>
      <c r="F192" s="16"/>
      <c r="G192" s="16"/>
      <c r="H192" s="16"/>
      <c r="I192" s="16"/>
      <c r="J192" s="16"/>
      <c r="K192" s="16"/>
      <c r="L192" s="16"/>
      <c r="M192" s="16"/>
      <c r="N192" s="16"/>
      <c r="O192" s="16"/>
      <c r="P192" s="16"/>
    </row>
    <row r="193" spans="4:16" ht="16.5">
      <c r="D193" s="14" t="s">
        <v>243</v>
      </c>
      <c r="E193" s="16">
        <f>E86</f>
        <v>289700</v>
      </c>
      <c r="F193" s="16"/>
      <c r="G193" s="16"/>
      <c r="H193" s="16"/>
      <c r="I193" s="16"/>
      <c r="J193" s="16"/>
      <c r="K193" s="16"/>
      <c r="L193" s="16"/>
      <c r="M193" s="16"/>
      <c r="N193" s="16"/>
      <c r="O193" s="16"/>
      <c r="P193" s="16"/>
    </row>
    <row r="194" spans="5:16" ht="16.5">
      <c r="E194" s="16"/>
      <c r="F194" s="16"/>
      <c r="G194" s="16"/>
      <c r="H194" s="16"/>
      <c r="I194" s="16"/>
      <c r="J194" s="16"/>
      <c r="K194" s="16"/>
      <c r="L194" s="16"/>
      <c r="M194" s="16"/>
      <c r="N194" s="16"/>
      <c r="O194" s="16"/>
      <c r="P194" s="16"/>
    </row>
    <row r="195" spans="5:16" ht="16.5">
      <c r="E195" s="16">
        <f>E175-E189-E190-E191-E192-E193-E18-E21-E60</f>
        <v>130927327</v>
      </c>
      <c r="F195" s="16"/>
      <c r="G195" s="16"/>
      <c r="H195" s="16"/>
      <c r="I195" s="16"/>
      <c r="J195" s="16"/>
      <c r="K195" s="16"/>
      <c r="L195" s="16"/>
      <c r="M195" s="16"/>
      <c r="N195" s="16"/>
      <c r="O195" s="16"/>
      <c r="P195" s="16"/>
    </row>
    <row r="196" spans="5:16" ht="16.5">
      <c r="E196" s="16"/>
      <c r="F196" s="16"/>
      <c r="G196" s="16"/>
      <c r="H196" s="16"/>
      <c r="I196" s="16"/>
      <c r="J196" s="16"/>
      <c r="K196" s="16"/>
      <c r="L196" s="16"/>
      <c r="M196" s="16"/>
      <c r="N196" s="16"/>
      <c r="O196" s="16"/>
      <c r="P196" s="16"/>
    </row>
    <row r="197" spans="4:16" ht="16.5">
      <c r="D197" s="14" t="s">
        <v>241</v>
      </c>
      <c r="E197" s="16">
        <v>130927327</v>
      </c>
      <c r="F197" s="16"/>
      <c r="G197" s="16"/>
      <c r="H197" s="16"/>
      <c r="I197" s="16"/>
      <c r="J197" s="16"/>
      <c r="K197" s="16"/>
      <c r="L197" s="16"/>
      <c r="M197" s="16"/>
      <c r="N197" s="16"/>
      <c r="O197" s="16"/>
      <c r="P197" s="16"/>
    </row>
    <row r="198" spans="5:16" ht="16.5">
      <c r="E198" s="16"/>
      <c r="F198" s="16"/>
      <c r="G198" s="16"/>
      <c r="H198" s="16"/>
      <c r="I198" s="16"/>
      <c r="J198" s="16"/>
      <c r="K198" s="16"/>
      <c r="L198" s="16"/>
      <c r="M198" s="16"/>
      <c r="N198" s="16"/>
      <c r="O198" s="16"/>
      <c r="P198" s="16"/>
    </row>
    <row r="199" spans="4:16" ht="16.5">
      <c r="D199" s="14" t="s">
        <v>242</v>
      </c>
      <c r="E199" s="16">
        <f>E197-E195</f>
        <v>0</v>
      </c>
      <c r="F199" s="16"/>
      <c r="G199" s="16"/>
      <c r="H199" s="16"/>
      <c r="I199" s="16"/>
      <c r="J199" s="16"/>
      <c r="K199" s="16"/>
      <c r="L199" s="16"/>
      <c r="M199" s="16"/>
      <c r="N199" s="16"/>
      <c r="O199" s="16"/>
      <c r="P199" s="16"/>
    </row>
    <row r="200" spans="5:16" ht="16.5">
      <c r="E200" s="16"/>
      <c r="F200" s="16"/>
      <c r="G200" s="16"/>
      <c r="H200" s="16"/>
      <c r="I200" s="16"/>
      <c r="J200" s="16"/>
      <c r="K200" s="16"/>
      <c r="L200" s="16"/>
      <c r="M200" s="16"/>
      <c r="N200" s="16"/>
      <c r="O200" s="16"/>
      <c r="P200" s="16"/>
    </row>
    <row r="201" spans="5:16" ht="16.5">
      <c r="E201" s="16"/>
      <c r="F201" s="16"/>
      <c r="G201" s="16"/>
      <c r="H201" s="16"/>
      <c r="I201" s="16"/>
      <c r="J201" s="16"/>
      <c r="K201" s="16"/>
      <c r="L201" s="16"/>
      <c r="M201" s="16"/>
      <c r="N201" s="16"/>
      <c r="O201" s="16"/>
      <c r="P201" s="16"/>
    </row>
    <row r="202" spans="5:16" ht="16.5">
      <c r="E202" s="16"/>
      <c r="F202" s="16"/>
      <c r="G202" s="16"/>
      <c r="H202" s="16"/>
      <c r="I202" s="16"/>
      <c r="J202" s="16"/>
      <c r="K202" s="16"/>
      <c r="L202" s="16"/>
      <c r="M202" s="16"/>
      <c r="N202" s="16"/>
      <c r="O202" s="16"/>
      <c r="P202" s="16"/>
    </row>
    <row r="203" spans="5:16" ht="16.5">
      <c r="E203" s="16"/>
      <c r="F203" s="16"/>
      <c r="G203" s="16"/>
      <c r="H203" s="16"/>
      <c r="I203" s="16"/>
      <c r="J203" s="16"/>
      <c r="K203" s="16"/>
      <c r="L203" s="16"/>
      <c r="M203" s="16"/>
      <c r="N203" s="16"/>
      <c r="O203" s="16"/>
      <c r="P203" s="16"/>
    </row>
    <row r="204" spans="5:16" ht="16.5">
      <c r="E204" s="16"/>
      <c r="F204" s="16"/>
      <c r="G204" s="16"/>
      <c r="H204" s="16"/>
      <c r="I204" s="16"/>
      <c r="J204" s="16"/>
      <c r="K204" s="16"/>
      <c r="L204" s="16"/>
      <c r="M204" s="16"/>
      <c r="N204" s="16"/>
      <c r="O204" s="16"/>
      <c r="P204" s="16"/>
    </row>
    <row r="205" spans="5:16" ht="16.5">
      <c r="E205" s="16"/>
      <c r="F205" s="16"/>
      <c r="G205" s="16"/>
      <c r="H205" s="16"/>
      <c r="I205" s="16"/>
      <c r="J205" s="16"/>
      <c r="K205" s="16"/>
      <c r="L205" s="16"/>
      <c r="M205" s="16"/>
      <c r="N205" s="16"/>
      <c r="O205" s="16"/>
      <c r="P205" s="16"/>
    </row>
    <row r="206" spans="5:16" ht="16.5">
      <c r="E206" s="16"/>
      <c r="F206" s="16"/>
      <c r="G206" s="16"/>
      <c r="H206" s="16"/>
      <c r="I206" s="16"/>
      <c r="J206" s="16"/>
      <c r="K206" s="16"/>
      <c r="L206" s="16"/>
      <c r="M206" s="16"/>
      <c r="N206" s="16"/>
      <c r="O206" s="16"/>
      <c r="P206" s="16"/>
    </row>
    <row r="207" spans="5:16" ht="16.5">
      <c r="E207" s="16"/>
      <c r="F207" s="16"/>
      <c r="G207" s="16"/>
      <c r="H207" s="16"/>
      <c r="I207" s="16"/>
      <c r="J207" s="16"/>
      <c r="K207" s="16"/>
      <c r="L207" s="16"/>
      <c r="M207" s="16"/>
      <c r="N207" s="16"/>
      <c r="O207" s="16"/>
      <c r="P207" s="16"/>
    </row>
    <row r="208" spans="5:16" ht="16.5">
      <c r="E208" s="16"/>
      <c r="F208" s="16"/>
      <c r="G208" s="16"/>
      <c r="H208" s="16"/>
      <c r="I208" s="16"/>
      <c r="J208" s="16"/>
      <c r="K208" s="16"/>
      <c r="L208" s="16"/>
      <c r="M208" s="16"/>
      <c r="N208" s="16"/>
      <c r="O208" s="16"/>
      <c r="P208" s="16"/>
    </row>
    <row r="209" spans="5:16" ht="16.5">
      <c r="E209" s="16"/>
      <c r="F209" s="16"/>
      <c r="G209" s="16"/>
      <c r="H209" s="16"/>
      <c r="I209" s="16"/>
      <c r="J209" s="16"/>
      <c r="K209" s="16"/>
      <c r="L209" s="16"/>
      <c r="M209" s="16"/>
      <c r="N209" s="16"/>
      <c r="O209" s="16"/>
      <c r="P209" s="16"/>
    </row>
    <row r="210" spans="5:16" ht="16.5">
      <c r="E210" s="16"/>
      <c r="F210" s="16"/>
      <c r="G210" s="16"/>
      <c r="H210" s="16"/>
      <c r="I210" s="16"/>
      <c r="J210" s="16"/>
      <c r="K210" s="16"/>
      <c r="L210" s="16"/>
      <c r="M210" s="16"/>
      <c r="N210" s="16"/>
      <c r="O210" s="16"/>
      <c r="P210" s="16"/>
    </row>
    <row r="211" spans="5:16" ht="16.5">
      <c r="E211" s="16"/>
      <c r="F211" s="16"/>
      <c r="G211" s="16"/>
      <c r="H211" s="16"/>
      <c r="I211" s="16"/>
      <c r="J211" s="16"/>
      <c r="K211" s="16"/>
      <c r="L211" s="16"/>
      <c r="M211" s="16"/>
      <c r="N211" s="16"/>
      <c r="O211" s="16"/>
      <c r="P211" s="16"/>
    </row>
    <row r="212" spans="5:16" ht="16.5">
      <c r="E212" s="16"/>
      <c r="F212" s="16"/>
      <c r="G212" s="16"/>
      <c r="H212" s="16"/>
      <c r="I212" s="16"/>
      <c r="J212" s="16"/>
      <c r="K212" s="16"/>
      <c r="L212" s="16"/>
      <c r="M212" s="16"/>
      <c r="N212" s="16"/>
      <c r="O212" s="16"/>
      <c r="P212" s="16"/>
    </row>
    <row r="213" spans="5:16" ht="16.5">
      <c r="E213" s="16"/>
      <c r="F213" s="16"/>
      <c r="G213" s="16"/>
      <c r="H213" s="16"/>
      <c r="I213" s="16"/>
      <c r="J213" s="16"/>
      <c r="K213" s="16"/>
      <c r="L213" s="16"/>
      <c r="M213" s="16"/>
      <c r="N213" s="16"/>
      <c r="O213" s="16"/>
      <c r="P213" s="16"/>
    </row>
    <row r="214" spans="5:16" ht="16.5">
      <c r="E214" s="16"/>
      <c r="F214" s="16"/>
      <c r="G214" s="16"/>
      <c r="H214" s="16"/>
      <c r="I214" s="16"/>
      <c r="J214" s="16"/>
      <c r="K214" s="16"/>
      <c r="L214" s="16"/>
      <c r="M214" s="16"/>
      <c r="N214" s="16"/>
      <c r="O214" s="16"/>
      <c r="P214" s="16"/>
    </row>
    <row r="215" spans="5:16" ht="16.5">
      <c r="E215" s="16"/>
      <c r="F215" s="16"/>
      <c r="G215" s="16"/>
      <c r="H215" s="16"/>
      <c r="I215" s="16"/>
      <c r="J215" s="16"/>
      <c r="K215" s="16"/>
      <c r="L215" s="16"/>
      <c r="M215" s="16"/>
      <c r="N215" s="16"/>
      <c r="O215" s="16"/>
      <c r="P215" s="16"/>
    </row>
    <row r="216" spans="5:16" ht="16.5">
      <c r="E216" s="16"/>
      <c r="F216" s="16"/>
      <c r="G216" s="16"/>
      <c r="H216" s="16"/>
      <c r="I216" s="16"/>
      <c r="J216" s="16"/>
      <c r="K216" s="16"/>
      <c r="L216" s="16"/>
      <c r="M216" s="16"/>
      <c r="N216" s="16"/>
      <c r="O216" s="16"/>
      <c r="P216" s="16"/>
    </row>
    <row r="217" spans="5:16" ht="16.5">
      <c r="E217" s="16"/>
      <c r="F217" s="16"/>
      <c r="G217" s="16"/>
      <c r="H217" s="16"/>
      <c r="I217" s="16"/>
      <c r="J217" s="16"/>
      <c r="K217" s="16"/>
      <c r="L217" s="16"/>
      <c r="M217" s="16"/>
      <c r="N217" s="16"/>
      <c r="O217" s="16"/>
      <c r="P217" s="16"/>
    </row>
    <row r="218" spans="5:16" ht="16.5">
      <c r="E218" s="16"/>
      <c r="F218" s="16"/>
      <c r="G218" s="16"/>
      <c r="H218" s="16"/>
      <c r="I218" s="16"/>
      <c r="J218" s="16"/>
      <c r="K218" s="16"/>
      <c r="L218" s="16"/>
      <c r="M218" s="16"/>
      <c r="N218" s="16"/>
      <c r="O218" s="16"/>
      <c r="P218" s="16"/>
    </row>
    <row r="219" spans="5:16" ht="16.5">
      <c r="E219" s="16"/>
      <c r="F219" s="16"/>
      <c r="G219" s="16"/>
      <c r="H219" s="16"/>
      <c r="I219" s="16"/>
      <c r="J219" s="16"/>
      <c r="K219" s="16"/>
      <c r="L219" s="16"/>
      <c r="M219" s="16"/>
      <c r="N219" s="16"/>
      <c r="O219" s="16"/>
      <c r="P219" s="16"/>
    </row>
    <row r="220" spans="5:16" ht="16.5">
      <c r="E220" s="16"/>
      <c r="F220" s="16"/>
      <c r="G220" s="16"/>
      <c r="H220" s="16"/>
      <c r="I220" s="16"/>
      <c r="J220" s="16"/>
      <c r="K220" s="16"/>
      <c r="L220" s="16"/>
      <c r="M220" s="16"/>
      <c r="N220" s="16"/>
      <c r="O220" s="16"/>
      <c r="P220" s="16"/>
    </row>
    <row r="221" spans="5:16" ht="16.5">
      <c r="E221" s="16"/>
      <c r="F221" s="16"/>
      <c r="G221" s="16"/>
      <c r="H221" s="16"/>
      <c r="I221" s="16"/>
      <c r="J221" s="16"/>
      <c r="K221" s="16"/>
      <c r="L221" s="16"/>
      <c r="M221" s="16"/>
      <c r="N221" s="16"/>
      <c r="O221" s="16"/>
      <c r="P221" s="16"/>
    </row>
    <row r="222" spans="5:16" ht="16.5">
      <c r="E222" s="16"/>
      <c r="F222" s="16"/>
      <c r="G222" s="16"/>
      <c r="H222" s="16"/>
      <c r="I222" s="16"/>
      <c r="J222" s="16"/>
      <c r="K222" s="16"/>
      <c r="L222" s="16"/>
      <c r="M222" s="16"/>
      <c r="N222" s="16"/>
      <c r="O222" s="16"/>
      <c r="P222" s="16"/>
    </row>
    <row r="223" spans="5:16" ht="16.5">
      <c r="E223" s="16"/>
      <c r="F223" s="16"/>
      <c r="G223" s="16"/>
      <c r="H223" s="16"/>
      <c r="I223" s="16"/>
      <c r="J223" s="16"/>
      <c r="K223" s="16"/>
      <c r="L223" s="16"/>
      <c r="M223" s="16"/>
      <c r="N223" s="16"/>
      <c r="O223" s="16"/>
      <c r="P223" s="16"/>
    </row>
    <row r="224" spans="5:16" ht="16.5">
      <c r="E224" s="16"/>
      <c r="F224" s="16"/>
      <c r="G224" s="16"/>
      <c r="H224" s="16"/>
      <c r="I224" s="16"/>
      <c r="J224" s="16"/>
      <c r="K224" s="16"/>
      <c r="L224" s="16"/>
      <c r="M224" s="16"/>
      <c r="N224" s="16"/>
      <c r="O224" s="16"/>
      <c r="P224" s="16"/>
    </row>
    <row r="225" spans="5:16" ht="16.5">
      <c r="E225" s="16"/>
      <c r="F225" s="16"/>
      <c r="G225" s="16"/>
      <c r="H225" s="16"/>
      <c r="I225" s="16"/>
      <c r="J225" s="16"/>
      <c r="K225" s="16"/>
      <c r="L225" s="16"/>
      <c r="M225" s="16"/>
      <c r="N225" s="16"/>
      <c r="O225" s="16"/>
      <c r="P225" s="16"/>
    </row>
    <row r="226" spans="5:16" ht="16.5">
      <c r="E226" s="16"/>
      <c r="F226" s="16"/>
      <c r="G226" s="16"/>
      <c r="H226" s="16"/>
      <c r="I226" s="16"/>
      <c r="J226" s="16"/>
      <c r="K226" s="16"/>
      <c r="L226" s="16"/>
      <c r="M226" s="16"/>
      <c r="N226" s="16"/>
      <c r="O226" s="16"/>
      <c r="P226" s="16"/>
    </row>
    <row r="227" spans="5:16" ht="16.5">
      <c r="E227" s="16"/>
      <c r="F227" s="16"/>
      <c r="G227" s="16"/>
      <c r="H227" s="16"/>
      <c r="I227" s="16"/>
      <c r="J227" s="16"/>
      <c r="K227" s="16"/>
      <c r="L227" s="16"/>
      <c r="M227" s="16"/>
      <c r="N227" s="16"/>
      <c r="O227" s="16"/>
      <c r="P227" s="16"/>
    </row>
    <row r="228" spans="5:16" ht="16.5">
      <c r="E228" s="16"/>
      <c r="F228" s="16"/>
      <c r="G228" s="16"/>
      <c r="H228" s="16"/>
      <c r="I228" s="16"/>
      <c r="J228" s="16"/>
      <c r="K228" s="16"/>
      <c r="L228" s="16"/>
      <c r="M228" s="16"/>
      <c r="N228" s="16"/>
      <c r="O228" s="16"/>
      <c r="P228" s="16"/>
    </row>
    <row r="229" spans="5:16" ht="16.5">
      <c r="E229" s="16"/>
      <c r="F229" s="16"/>
      <c r="G229" s="16"/>
      <c r="H229" s="16"/>
      <c r="I229" s="16"/>
      <c r="J229" s="16"/>
      <c r="K229" s="16"/>
      <c r="L229" s="16"/>
      <c r="M229" s="16"/>
      <c r="N229" s="16"/>
      <c r="O229" s="16"/>
      <c r="P229" s="16"/>
    </row>
    <row r="230" spans="5:16" ht="16.5">
      <c r="E230" s="16"/>
      <c r="F230" s="16"/>
      <c r="G230" s="16"/>
      <c r="H230" s="16"/>
      <c r="I230" s="16"/>
      <c r="J230" s="16"/>
      <c r="K230" s="16"/>
      <c r="L230" s="16"/>
      <c r="M230" s="16"/>
      <c r="N230" s="16"/>
      <c r="O230" s="16"/>
      <c r="P230" s="16"/>
    </row>
    <row r="231" spans="5:16" ht="16.5">
      <c r="E231" s="16"/>
      <c r="F231" s="16"/>
      <c r="G231" s="16"/>
      <c r="H231" s="16"/>
      <c r="I231" s="16"/>
      <c r="J231" s="16"/>
      <c r="K231" s="16"/>
      <c r="L231" s="16"/>
      <c r="M231" s="16"/>
      <c r="N231" s="16"/>
      <c r="O231" s="16"/>
      <c r="P231" s="16"/>
    </row>
    <row r="232" spans="5:16" ht="16.5">
      <c r="E232" s="16"/>
      <c r="F232" s="16"/>
      <c r="G232" s="16"/>
      <c r="H232" s="16"/>
      <c r="I232" s="16"/>
      <c r="J232" s="16"/>
      <c r="K232" s="16"/>
      <c r="L232" s="16"/>
      <c r="M232" s="16"/>
      <c r="N232" s="16"/>
      <c r="O232" s="16"/>
      <c r="P232" s="16"/>
    </row>
    <row r="233" spans="5:16" ht="16.5">
      <c r="E233" s="16"/>
      <c r="F233" s="16"/>
      <c r="G233" s="16"/>
      <c r="H233" s="16"/>
      <c r="I233" s="16"/>
      <c r="J233" s="16"/>
      <c r="K233" s="16"/>
      <c r="L233" s="16"/>
      <c r="M233" s="16"/>
      <c r="N233" s="16"/>
      <c r="O233" s="16"/>
      <c r="P233" s="16"/>
    </row>
    <row r="234" spans="5:16" ht="16.5">
      <c r="E234" s="16"/>
      <c r="F234" s="16"/>
      <c r="G234" s="16"/>
      <c r="H234" s="16"/>
      <c r="I234" s="16"/>
      <c r="J234" s="16"/>
      <c r="K234" s="16"/>
      <c r="L234" s="16"/>
      <c r="M234" s="16"/>
      <c r="N234" s="16"/>
      <c r="O234" s="16"/>
      <c r="P234" s="16"/>
    </row>
    <row r="235" spans="5:16" ht="16.5">
      <c r="E235" s="16"/>
      <c r="F235" s="16"/>
      <c r="G235" s="16"/>
      <c r="H235" s="16"/>
      <c r="I235" s="16"/>
      <c r="J235" s="16"/>
      <c r="K235" s="16"/>
      <c r="L235" s="16"/>
      <c r="M235" s="16"/>
      <c r="N235" s="16"/>
      <c r="O235" s="16"/>
      <c r="P235" s="16"/>
    </row>
    <row r="236" spans="5:16" ht="16.5">
      <c r="E236" s="16"/>
      <c r="F236" s="16"/>
      <c r="G236" s="16"/>
      <c r="H236" s="16"/>
      <c r="I236" s="16"/>
      <c r="J236" s="16"/>
      <c r="K236" s="16"/>
      <c r="L236" s="16"/>
      <c r="M236" s="16"/>
      <c r="N236" s="16"/>
      <c r="O236" s="16"/>
      <c r="P236" s="16"/>
    </row>
    <row r="237" spans="5:16" ht="16.5">
      <c r="E237" s="16"/>
      <c r="F237" s="16"/>
      <c r="G237" s="16"/>
      <c r="H237" s="16"/>
      <c r="I237" s="16"/>
      <c r="J237" s="16"/>
      <c r="K237" s="16"/>
      <c r="L237" s="16"/>
      <c r="M237" s="16"/>
      <c r="N237" s="16"/>
      <c r="O237" s="16"/>
      <c r="P237" s="16"/>
    </row>
    <row r="238" spans="5:16" ht="16.5">
      <c r="E238" s="16"/>
      <c r="F238" s="16"/>
      <c r="G238" s="16"/>
      <c r="H238" s="16"/>
      <c r="I238" s="16"/>
      <c r="J238" s="16"/>
      <c r="K238" s="16"/>
      <c r="L238" s="16"/>
      <c r="M238" s="16"/>
      <c r="N238" s="16"/>
      <c r="O238" s="16"/>
      <c r="P238" s="16"/>
    </row>
    <row r="239" spans="5:16" ht="16.5">
      <c r="E239" s="16"/>
      <c r="F239" s="16"/>
      <c r="G239" s="16"/>
      <c r="H239" s="16"/>
      <c r="I239" s="16"/>
      <c r="J239" s="16"/>
      <c r="K239" s="16"/>
      <c r="L239" s="16"/>
      <c r="M239" s="16"/>
      <c r="N239" s="16"/>
      <c r="O239" s="16"/>
      <c r="P239" s="16"/>
    </row>
    <row r="240" spans="5:16" ht="16.5">
      <c r="E240" s="16"/>
      <c r="F240" s="16"/>
      <c r="G240" s="16"/>
      <c r="H240" s="16"/>
      <c r="I240" s="16"/>
      <c r="J240" s="16"/>
      <c r="K240" s="16"/>
      <c r="L240" s="16"/>
      <c r="M240" s="16"/>
      <c r="N240" s="16"/>
      <c r="O240" s="16"/>
      <c r="P240" s="16"/>
    </row>
    <row r="241" spans="5:16" ht="16.5">
      <c r="E241" s="16"/>
      <c r="F241" s="16"/>
      <c r="G241" s="16"/>
      <c r="H241" s="16"/>
      <c r="I241" s="16"/>
      <c r="J241" s="16"/>
      <c r="K241" s="16"/>
      <c r="L241" s="16"/>
      <c r="M241" s="16"/>
      <c r="N241" s="16"/>
      <c r="O241" s="16"/>
      <c r="P241" s="16"/>
    </row>
    <row r="242" spans="5:16" ht="16.5">
      <c r="E242" s="16"/>
      <c r="F242" s="16"/>
      <c r="G242" s="16"/>
      <c r="H242" s="16"/>
      <c r="I242" s="16"/>
      <c r="J242" s="16"/>
      <c r="K242" s="16"/>
      <c r="L242" s="16"/>
      <c r="M242" s="16"/>
      <c r="N242" s="16"/>
      <c r="O242" s="16"/>
      <c r="P242" s="16"/>
    </row>
    <row r="243" spans="5:16" ht="16.5">
      <c r="E243" s="16"/>
      <c r="F243" s="16"/>
      <c r="G243" s="16"/>
      <c r="H243" s="16"/>
      <c r="I243" s="16"/>
      <c r="J243" s="16"/>
      <c r="K243" s="16"/>
      <c r="L243" s="16"/>
      <c r="M243" s="16"/>
      <c r="N243" s="16"/>
      <c r="O243" s="16"/>
      <c r="P243" s="16"/>
    </row>
    <row r="244" spans="5:16" ht="16.5">
      <c r="E244" s="16"/>
      <c r="F244" s="16"/>
      <c r="G244" s="16"/>
      <c r="H244" s="16"/>
      <c r="I244" s="16"/>
      <c r="J244" s="16"/>
      <c r="K244" s="16"/>
      <c r="L244" s="16"/>
      <c r="M244" s="16"/>
      <c r="N244" s="16"/>
      <c r="O244" s="16"/>
      <c r="P244" s="16"/>
    </row>
    <row r="245" spans="5:16" ht="16.5">
      <c r="E245" s="16"/>
      <c r="F245" s="16"/>
      <c r="G245" s="16"/>
      <c r="H245" s="16"/>
      <c r="I245" s="16"/>
      <c r="J245" s="16"/>
      <c r="K245" s="16"/>
      <c r="L245" s="16"/>
      <c r="M245" s="16"/>
      <c r="N245" s="16"/>
      <c r="O245" s="16"/>
      <c r="P245" s="16"/>
    </row>
    <row r="246" spans="5:16" ht="16.5">
      <c r="E246" s="16"/>
      <c r="F246" s="16"/>
      <c r="G246" s="16"/>
      <c r="H246" s="16"/>
      <c r="I246" s="16"/>
      <c r="J246" s="16"/>
      <c r="K246" s="16"/>
      <c r="L246" s="16"/>
      <c r="M246" s="16"/>
      <c r="N246" s="16"/>
      <c r="O246" s="16"/>
      <c r="P246" s="16"/>
    </row>
    <row r="247" spans="5:16" ht="16.5">
      <c r="E247" s="16"/>
      <c r="F247" s="16"/>
      <c r="G247" s="16"/>
      <c r="H247" s="16"/>
      <c r="I247" s="16"/>
      <c r="J247" s="16"/>
      <c r="K247" s="16"/>
      <c r="L247" s="16"/>
      <c r="M247" s="16"/>
      <c r="N247" s="16"/>
      <c r="O247" s="16"/>
      <c r="P247" s="16"/>
    </row>
    <row r="248" spans="5:16" ht="16.5">
      <c r="E248" s="16"/>
      <c r="F248" s="16"/>
      <c r="G248" s="16"/>
      <c r="H248" s="16"/>
      <c r="I248" s="16"/>
      <c r="J248" s="16"/>
      <c r="K248" s="16"/>
      <c r="L248" s="16"/>
      <c r="M248" s="16"/>
      <c r="N248" s="16"/>
      <c r="O248" s="16"/>
      <c r="P248" s="16"/>
    </row>
    <row r="249" spans="5:16" ht="16.5">
      <c r="E249" s="16"/>
      <c r="F249" s="16"/>
      <c r="G249" s="16"/>
      <c r="H249" s="16"/>
      <c r="I249" s="16"/>
      <c r="J249" s="16"/>
      <c r="K249" s="16"/>
      <c r="L249" s="16"/>
      <c r="M249" s="16"/>
      <c r="N249" s="16"/>
      <c r="O249" s="16"/>
      <c r="P249" s="16"/>
    </row>
    <row r="250" spans="5:16" ht="16.5">
      <c r="E250" s="16"/>
      <c r="F250" s="16"/>
      <c r="G250" s="16"/>
      <c r="H250" s="16"/>
      <c r="I250" s="16"/>
      <c r="J250" s="16"/>
      <c r="K250" s="16"/>
      <c r="L250" s="16"/>
      <c r="M250" s="16"/>
      <c r="N250" s="16"/>
      <c r="O250" s="16"/>
      <c r="P250" s="16"/>
    </row>
    <row r="251" spans="5:16" ht="16.5">
      <c r="E251" s="16"/>
      <c r="F251" s="16"/>
      <c r="G251" s="16"/>
      <c r="H251" s="16"/>
      <c r="I251" s="16"/>
      <c r="J251" s="16"/>
      <c r="K251" s="16"/>
      <c r="L251" s="16"/>
      <c r="M251" s="16"/>
      <c r="N251" s="16"/>
      <c r="O251" s="16"/>
      <c r="P251" s="16"/>
    </row>
    <row r="252" spans="5:16" ht="16.5">
      <c r="E252" s="16"/>
      <c r="F252" s="16"/>
      <c r="G252" s="16"/>
      <c r="H252" s="16"/>
      <c r="I252" s="16"/>
      <c r="J252" s="16"/>
      <c r="K252" s="16"/>
      <c r="L252" s="16"/>
      <c r="M252" s="16"/>
      <c r="N252" s="16"/>
      <c r="O252" s="16"/>
      <c r="P252" s="16"/>
    </row>
    <row r="253" spans="5:16" ht="16.5">
      <c r="E253" s="16"/>
      <c r="F253" s="16"/>
      <c r="G253" s="16"/>
      <c r="H253" s="16"/>
      <c r="I253" s="16"/>
      <c r="J253" s="16"/>
      <c r="K253" s="16"/>
      <c r="L253" s="16"/>
      <c r="M253" s="16"/>
      <c r="N253" s="16"/>
      <c r="O253" s="16"/>
      <c r="P253" s="16"/>
    </row>
    <row r="254" spans="5:16" ht="16.5">
      <c r="E254" s="16"/>
      <c r="F254" s="16"/>
      <c r="G254" s="16"/>
      <c r="H254" s="16"/>
      <c r="I254" s="16"/>
      <c r="J254" s="16"/>
      <c r="K254" s="16"/>
      <c r="L254" s="16"/>
      <c r="M254" s="16"/>
      <c r="N254" s="16"/>
      <c r="O254" s="16"/>
      <c r="P254" s="16"/>
    </row>
    <row r="255" spans="5:16" ht="16.5">
      <c r="E255" s="16"/>
      <c r="F255" s="16"/>
      <c r="G255" s="16"/>
      <c r="H255" s="16"/>
      <c r="I255" s="16"/>
      <c r="J255" s="16"/>
      <c r="K255" s="16"/>
      <c r="L255" s="16"/>
      <c r="M255" s="16"/>
      <c r="N255" s="16"/>
      <c r="O255" s="16"/>
      <c r="P255" s="16"/>
    </row>
    <row r="256" spans="5:16" ht="16.5">
      <c r="E256" s="16"/>
      <c r="F256" s="16"/>
      <c r="G256" s="16"/>
      <c r="H256" s="16"/>
      <c r="I256" s="16"/>
      <c r="J256" s="16"/>
      <c r="K256" s="16"/>
      <c r="L256" s="16"/>
      <c r="M256" s="16"/>
      <c r="N256" s="16"/>
      <c r="O256" s="16"/>
      <c r="P256" s="16"/>
    </row>
    <row r="257" spans="5:16" ht="16.5">
      <c r="E257" s="16"/>
      <c r="F257" s="16"/>
      <c r="G257" s="16"/>
      <c r="H257" s="16"/>
      <c r="I257" s="16"/>
      <c r="J257" s="16"/>
      <c r="K257" s="16"/>
      <c r="L257" s="16"/>
      <c r="M257" s="16"/>
      <c r="N257" s="16"/>
      <c r="O257" s="16"/>
      <c r="P257" s="16"/>
    </row>
    <row r="258" spans="5:16" ht="16.5">
      <c r="E258" s="16"/>
      <c r="F258" s="16"/>
      <c r="G258" s="16"/>
      <c r="H258" s="16"/>
      <c r="I258" s="16"/>
      <c r="J258" s="16"/>
      <c r="K258" s="16"/>
      <c r="L258" s="16"/>
      <c r="M258" s="16"/>
      <c r="N258" s="16"/>
      <c r="O258" s="16"/>
      <c r="P258" s="16"/>
    </row>
    <row r="259" spans="5:16" ht="16.5">
      <c r="E259" s="16"/>
      <c r="F259" s="16"/>
      <c r="G259" s="16"/>
      <c r="H259" s="16"/>
      <c r="I259" s="16"/>
      <c r="J259" s="16"/>
      <c r="K259" s="16"/>
      <c r="L259" s="16"/>
      <c r="M259" s="16"/>
      <c r="N259" s="16"/>
      <c r="O259" s="16"/>
      <c r="P259" s="16"/>
    </row>
    <row r="260" spans="5:16" ht="16.5">
      <c r="E260" s="16"/>
      <c r="F260" s="16"/>
      <c r="G260" s="16"/>
      <c r="H260" s="16"/>
      <c r="I260" s="16"/>
      <c r="J260" s="16"/>
      <c r="K260" s="16"/>
      <c r="L260" s="16"/>
      <c r="M260" s="16"/>
      <c r="N260" s="16"/>
      <c r="O260" s="16"/>
      <c r="P260" s="16"/>
    </row>
    <row r="261" spans="5:16" ht="16.5">
      <c r="E261" s="16"/>
      <c r="F261" s="16"/>
      <c r="G261" s="16"/>
      <c r="H261" s="16"/>
      <c r="I261" s="16"/>
      <c r="J261" s="16"/>
      <c r="K261" s="16"/>
      <c r="L261" s="16"/>
      <c r="M261" s="16"/>
      <c r="N261" s="16"/>
      <c r="O261" s="16"/>
      <c r="P261" s="16"/>
    </row>
    <row r="262" spans="5:16" ht="16.5">
      <c r="E262" s="16"/>
      <c r="F262" s="16"/>
      <c r="G262" s="16"/>
      <c r="H262" s="16"/>
      <c r="I262" s="16"/>
      <c r="J262" s="16"/>
      <c r="K262" s="16"/>
      <c r="L262" s="16"/>
      <c r="M262" s="16"/>
      <c r="N262" s="16"/>
      <c r="O262" s="16"/>
      <c r="P262" s="16"/>
    </row>
    <row r="263" spans="5:16" ht="16.5">
      <c r="E263" s="16"/>
      <c r="F263" s="16"/>
      <c r="G263" s="16"/>
      <c r="H263" s="16"/>
      <c r="I263" s="16"/>
      <c r="J263" s="16"/>
      <c r="K263" s="16"/>
      <c r="L263" s="16"/>
      <c r="M263" s="16"/>
      <c r="N263" s="16"/>
      <c r="O263" s="16"/>
      <c r="P263" s="16"/>
    </row>
  </sheetData>
  <sheetProtection/>
  <mergeCells count="39">
    <mergeCell ref="I91:I92"/>
    <mergeCell ref="G91:G92"/>
    <mergeCell ref="F91:F92"/>
    <mergeCell ref="P91:P92"/>
    <mergeCell ref="J91:J92"/>
    <mergeCell ref="K91:K92"/>
    <mergeCell ref="L91:L92"/>
    <mergeCell ref="M91:M92"/>
    <mergeCell ref="N91:N92"/>
    <mergeCell ref="O91:O92"/>
    <mergeCell ref="H91:H92"/>
    <mergeCell ref="D5:D12"/>
    <mergeCell ref="M2:O2"/>
    <mergeCell ref="B161:B169"/>
    <mergeCell ref="C91:C92"/>
    <mergeCell ref="E91:E92"/>
    <mergeCell ref="B91:B92"/>
    <mergeCell ref="C161:C169"/>
    <mergeCell ref="K10:K12"/>
    <mergeCell ref="B9:B12"/>
    <mergeCell ref="M1:O1"/>
    <mergeCell ref="E5:I9"/>
    <mergeCell ref="L10:M10"/>
    <mergeCell ref="I10:I12"/>
    <mergeCell ref="O11:O12"/>
    <mergeCell ref="H11:H12"/>
    <mergeCell ref="J10:J12"/>
    <mergeCell ref="E10:E12"/>
    <mergeCell ref="B3:P3"/>
    <mergeCell ref="J5:O9"/>
    <mergeCell ref="P5:P12"/>
    <mergeCell ref="F10:F12"/>
    <mergeCell ref="G11:G12"/>
    <mergeCell ref="B5:B8"/>
    <mergeCell ref="C5:C12"/>
    <mergeCell ref="L11:L12"/>
    <mergeCell ref="N10:N12"/>
    <mergeCell ref="G10:H10"/>
    <mergeCell ref="M11:M12"/>
  </mergeCells>
  <printOptions horizontalCentered="1"/>
  <pageMargins left="0.3937007874015748" right="0.3937007874015748" top="0.22" bottom="0.5905511811023623" header="0.21" footer="0.31496062992125984"/>
  <pageSetup fitToHeight="0" horizontalDpi="300" verticalDpi="300" orientation="landscape" paperSize="9" scale="64" r:id="rId1"/>
  <headerFooter alignWithMargins="0">
    <oddFooter>&amp;R&amp;P</oddFooter>
  </headerFooter>
  <colBreaks count="1" manualBreakCount="1">
    <brk id="16" max="65535" man="1"/>
  </col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Admin</cp:lastModifiedBy>
  <cp:lastPrinted>2016-08-04T14:01:29Z</cp:lastPrinted>
  <dcterms:created xsi:type="dcterms:W3CDTF">2014-01-17T10:52:16Z</dcterms:created>
  <dcterms:modified xsi:type="dcterms:W3CDTF">2016-08-08T12:30:32Z</dcterms:modified>
  <cp:category/>
  <cp:version/>
  <cp:contentType/>
  <cp:contentStatus/>
</cp:coreProperties>
</file>