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<sst xmlns="http://schemas.openxmlformats.org/spreadsheetml/2006/main" count="247" uniqueCount="141">
  <si>
    <t xml:space="preserve">                   </t>
  </si>
  <si>
    <t>Додаток  до рішення міської ради
до рішення  _і-ої сесії 
міської ради  _-го  скликання</t>
  </si>
  <si>
    <t>Розподіл видатків міського бюджету за розпорядниками коштів нижчого рівня відділу освіти Новокаховської міської ради на 2018 рік</t>
  </si>
  <si>
    <t>грн.</t>
  </si>
  <si>
    <t xml:space="preserve">Код типової відомчої класифікації місцевого бюджету </t>
  </si>
  <si>
    <t>Код функціональної класифікації видатків та кредитування бюджету</t>
  </si>
  <si>
    <t>Найменування
згідно з типовою відомчою/тимчасовою класифікацією видатків та кредитування місцевого бюджету</t>
  </si>
  <si>
    <t>Загальний фонд</t>
  </si>
  <si>
    <t>Спеціальний фонд</t>
  </si>
  <si>
    <t>Разом</t>
  </si>
  <si>
    <t xml:space="preserve">                          </t>
  </si>
  <si>
    <t>Код тимчасової класифікації видатків та кредитування місцевого бюджету</t>
  </si>
  <si>
    <t>Всього</t>
  </si>
  <si>
    <t>видатки споживання</t>
  </si>
  <si>
    <t>з них</t>
  </si>
  <si>
    <t>видатки розвитку</t>
  </si>
  <si>
    <t>соціально-</t>
  </si>
  <si>
    <t>оплата праці</t>
  </si>
  <si>
    <t>комунальні послуги та енергоносії</t>
  </si>
  <si>
    <t>бюджет розвитку</t>
  </si>
  <si>
    <t>економічного</t>
  </si>
  <si>
    <t>розвитку</t>
  </si>
  <si>
    <t>03</t>
  </si>
  <si>
    <t>Виконавчий комітет Новокаховської міської ради</t>
  </si>
  <si>
    <t>010000</t>
  </si>
  <si>
    <t>Державне управлiння</t>
  </si>
  <si>
    <t>010116</t>
  </si>
  <si>
    <t>0111</t>
  </si>
  <si>
    <t>Органи мiсцевого самоврядування</t>
  </si>
  <si>
    <t>080000</t>
  </si>
  <si>
    <t>Охорона здоров`я</t>
  </si>
  <si>
    <t>080101</t>
  </si>
  <si>
    <t>0731</t>
  </si>
  <si>
    <t>Лікарні</t>
  </si>
  <si>
    <t>в тому числі медична субвенція з державного бюджету</t>
  </si>
  <si>
    <t>в тому числі за рахунок коштів міського бюджету</t>
  </si>
  <si>
    <t>080800</t>
  </si>
  <si>
    <t>0726</t>
  </si>
  <si>
    <t>Центри первинної медичної (медико-санітарної) допомоги</t>
  </si>
  <si>
    <t>081002</t>
  </si>
  <si>
    <t>0763</t>
  </si>
  <si>
    <t>Iншi заходи по охоронi здоров`я</t>
  </si>
  <si>
    <t>090000</t>
  </si>
  <si>
    <t>Соцiальний захист та соцiальне забезпечення</t>
  </si>
  <si>
    <t>090412</t>
  </si>
  <si>
    <t>1090</t>
  </si>
  <si>
    <t>Iншi видатки на соціальний захист населення</t>
  </si>
  <si>
    <t>090416</t>
  </si>
  <si>
    <t>1030</t>
  </si>
  <si>
    <t>Iншi видатки на соціальний захист ветеранів війни та праці</t>
  </si>
  <si>
    <t>090802</t>
  </si>
  <si>
    <t>1040</t>
  </si>
  <si>
    <t>Інші програми соціального захисту дітей</t>
  </si>
  <si>
    <t>091101</t>
  </si>
  <si>
    <t>Утримання центрiв соцiальних служб для сім`ї, дітей та молоді</t>
  </si>
  <si>
    <t>091102</t>
  </si>
  <si>
    <t>Програми i заходи центрiв соцiальних служб для сім`ї, дітей та  молодi</t>
  </si>
  <si>
    <t>Житлово-комунальне господарство</t>
  </si>
  <si>
    <t>100102</t>
  </si>
  <si>
    <t>0610</t>
  </si>
  <si>
    <t>Капітальний ремонт житлового фонду місцевих органів влади</t>
  </si>
  <si>
    <t>100202</t>
  </si>
  <si>
    <t>0620</t>
  </si>
  <si>
    <t>Водопровідно-каналізаційне господарство </t>
  </si>
  <si>
    <t>Благоустрiй мiст, сіл, селищ</t>
  </si>
  <si>
    <t>100302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</si>
  <si>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 </t>
  </si>
  <si>
    <t>Засоби масової iнформацiї</t>
  </si>
  <si>
    <t>0830</t>
  </si>
  <si>
    <t>Телебачення i радiомовлення</t>
  </si>
  <si>
    <t>Перiодичнi видання (газети та журнали)</t>
  </si>
  <si>
    <t>Будiвництво</t>
  </si>
  <si>
    <t>0490</t>
  </si>
  <si>
    <t>Капiтальнi вкладення</t>
  </si>
  <si>
    <t>150202</t>
  </si>
  <si>
    <t>0443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</si>
  <si>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</si>
  <si>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</si>
  <si>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</si>
  <si>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</si>
  <si>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0421</t>
  </si>
  <si>
    <t>Землеустрiй</t>
  </si>
  <si>
    <t>Транспорт, дорожнє господарство, зв`язок, телекомунiкацiї та iнформатика</t>
  </si>
  <si>
    <t>0456</t>
  </si>
  <si>
    <t>Видатки на проведення робіт, пов`язаних з будiвництвом, реконструкцiєю, ремонтом i утриманням автомобiльних дорiг</t>
  </si>
  <si>
    <t>Iншi послуги, пов`язанi з економiчною дiяльнiстю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</si>
  <si>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</si>
  <si>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Цiльовi фонди</t>
  </si>
  <si>
    <t>0511</t>
  </si>
  <si>
    <t>Охорона та раціональне використання природних ресурсів</t>
  </si>
  <si>
    <t>Видатки, не вiднесенi до основних груп</t>
  </si>
  <si>
    <t>0133</t>
  </si>
  <si>
    <t>Іншi видатки</t>
  </si>
  <si>
    <t>250500</t>
  </si>
  <si>
    <t>Підготовка земельних ділянок несільськогосподарського призначення або прав на них комунальної власності для продажу на  земельних торгах та проведення таких торгів</t>
  </si>
  <si>
    <t>10</t>
  </si>
  <si>
    <t>Відділ освіти  Новокаховської міської ради</t>
  </si>
  <si>
    <t>070000</t>
  </si>
  <si>
    <t>Освiта</t>
  </si>
  <si>
    <t>070101</t>
  </si>
  <si>
    <t>0910</t>
  </si>
  <si>
    <t>Дошкiльнi заклади освiти</t>
  </si>
  <si>
    <t>1011020</t>
  </si>
  <si>
    <t>0921</t>
  </si>
  <si>
    <t>Загальноосвiтнi школи (в т.ч. школа-дитячий садок, iнтернат при школi), спецiалiзованi школи, лiцеї, гiмназiї, колегiуми</t>
  </si>
  <si>
    <t>1.</t>
  </si>
  <si>
    <t>СУБВЕНЦІЯ</t>
  </si>
  <si>
    <t>в тому числі освітня субвенція з державного бюджету</t>
  </si>
  <si>
    <t xml:space="preserve">                                                                                                                         </t>
  </si>
  <si>
    <t>ЗОШ № 1</t>
  </si>
  <si>
    <t>НВК № 2</t>
  </si>
  <si>
    <t>ЗОШ № 3</t>
  </si>
  <si>
    <t>ЗОШ № 4</t>
  </si>
  <si>
    <t>ЗОШ № 5</t>
  </si>
  <si>
    <t>ЗОШ № 6</t>
  </si>
  <si>
    <t>ЗОШ № 7</t>
  </si>
  <si>
    <t>ЗОШ № 8</t>
  </si>
  <si>
    <t>Гімназія</t>
  </si>
  <si>
    <t>ЗОШ № 10</t>
  </si>
  <si>
    <t>НКТЕЛ</t>
  </si>
  <si>
    <t>Дніпрянська ЗОШ</t>
  </si>
  <si>
    <t>Маслівська ЗОШ</t>
  </si>
  <si>
    <t>Корсунська ЗОШ</t>
  </si>
  <si>
    <t>2.</t>
  </si>
  <si>
    <t>в тому числі субвенція з державного б-ту місцевим б-том на здійснення заходів щодо соціально- економічного розвитку окремах територій</t>
  </si>
  <si>
    <t>3.</t>
  </si>
  <si>
    <t>НУШ</t>
  </si>
  <si>
    <t>в тому числі субвенція з державного б-ту на НУШ</t>
  </si>
  <si>
    <t>4.</t>
  </si>
  <si>
    <t>ПРИДБАННЯ ОРГТЕХНІКИ (СУБВ)</t>
  </si>
  <si>
    <t>в тому числі залишок освітьної субвенції за рахунок коштів обласного бюджету</t>
  </si>
  <si>
    <t>5.</t>
  </si>
  <si>
    <t>МУСОРНІ БАКИ</t>
  </si>
  <si>
    <t>інша субвенція з місцевого бюджету за рахунок коштів обласного бюджету</t>
  </si>
  <si>
    <t>6.</t>
  </si>
  <si>
    <t>МІСЦ,БЮДЖ.</t>
  </si>
  <si>
    <t>в тому числі за рахунок коштів міського бюдж.</t>
  </si>
  <si>
    <t>ВСЬОГО:</t>
  </si>
  <si>
    <t>Секретар міської ради</t>
  </si>
  <si>
    <t>О.В.Лук"яненко</t>
  </si>
  <si>
    <t>від 20.12.2018р. №1662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</si>
</sst>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7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1"/>
      <name val="Arial Cyr"/>
      <family val="2"/>
    </font>
    <font>
      <sz val="10"/>
      <name val="Arial Cyr"/>
      <family val="2"/>
    </font>
    <font>
      <sz val="13"/>
      <name val="Times New Roman Cyr"/>
      <family val="0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26" fillId="3" borderId="1" applyNumberFormat="0" applyAlignment="0" applyProtection="0"/>
    <xf numFmtId="0" fontId="27" fillId="9" borderId="2" applyNumberFormat="0" applyAlignment="0" applyProtection="0"/>
    <xf numFmtId="0" fontId="28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4" borderId="7" applyNumberFormat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21" fillId="0" borderId="0">
      <alignment/>
      <protection/>
    </xf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7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vertical="center" wrapText="1"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>
      <alignment vertical="center" wrapText="1"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6" xfId="0" applyNumberFormat="1" applyFont="1" applyFill="1" applyBorder="1" applyAlignment="1" applyProtection="1">
      <alignment/>
      <protection/>
    </xf>
    <xf numFmtId="0" fontId="10" fillId="0" borderId="17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 wrapText="1"/>
    </xf>
    <xf numFmtId="0" fontId="11" fillId="0" borderId="15" xfId="0" applyNumberFormat="1" applyFont="1" applyFill="1" applyBorder="1" applyAlignment="1" applyProtection="1">
      <alignment/>
      <protection/>
    </xf>
    <xf numFmtId="0" fontId="11" fillId="0" borderId="16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 wrapText="1"/>
    </xf>
    <xf numFmtId="49" fontId="1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vertical="center" wrapText="1"/>
    </xf>
    <xf numFmtId="0" fontId="11" fillId="0" borderId="19" xfId="0" applyNumberFormat="1" applyFont="1" applyFill="1" applyBorder="1" applyAlignment="1" applyProtection="1">
      <alignment/>
      <protection/>
    </xf>
    <xf numFmtId="0" fontId="10" fillId="0" borderId="19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0" fillId="0" borderId="16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/>
      <protection/>
    </xf>
    <xf numFmtId="2" fontId="10" fillId="0" borderId="15" xfId="0" applyNumberFormat="1" applyFont="1" applyFill="1" applyBorder="1" applyAlignment="1" applyProtection="1">
      <alignment/>
      <protection/>
    </xf>
    <xf numFmtId="2" fontId="10" fillId="0" borderId="17" xfId="0" applyNumberFormat="1" applyFont="1" applyFill="1" applyBorder="1" applyAlignment="1" applyProtection="1">
      <alignment/>
      <protection/>
    </xf>
    <xf numFmtId="49" fontId="13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/>
      <protection/>
    </xf>
    <xf numFmtId="1" fontId="10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49" fontId="12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>
      <alignment vertical="center" wrapText="1"/>
    </xf>
    <xf numFmtId="1" fontId="11" fillId="0" borderId="15" xfId="0" applyNumberFormat="1" applyFont="1" applyFill="1" applyBorder="1" applyAlignment="1" applyProtection="1">
      <alignment/>
      <protection/>
    </xf>
    <xf numFmtId="0" fontId="16" fillId="0" borderId="15" xfId="0" applyFont="1" applyFill="1" applyBorder="1" applyAlignment="1">
      <alignment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>
      <alignment vertical="center" wrapText="1"/>
    </xf>
    <xf numFmtId="0" fontId="10" fillId="0" borderId="24" xfId="0" applyNumberFormat="1" applyFont="1" applyFill="1" applyBorder="1" applyAlignment="1" applyProtection="1">
      <alignment/>
      <protection/>
    </xf>
    <xf numFmtId="0" fontId="18" fillId="0" borderId="15" xfId="0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vertical="center" wrapText="1"/>
    </xf>
    <xf numFmtId="0" fontId="1" fillId="0" borderId="22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/>
      <protection/>
    </xf>
    <xf numFmtId="0" fontId="11" fillId="0" borderId="24" xfId="0" applyNumberFormat="1" applyFont="1" applyFill="1" applyBorder="1" applyAlignment="1" applyProtection="1">
      <alignment/>
      <protection/>
    </xf>
    <xf numFmtId="49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>
      <alignment vertical="center" wrapText="1"/>
    </xf>
    <xf numFmtId="2" fontId="10" fillId="0" borderId="25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10" fillId="0" borderId="22" xfId="0" applyNumberFormat="1" applyFont="1" applyFill="1" applyBorder="1" applyAlignment="1" applyProtection="1">
      <alignment/>
      <protection/>
    </xf>
    <xf numFmtId="1" fontId="20" fillId="0" borderId="15" xfId="52" applyNumberFormat="1" applyFont="1" applyFill="1" applyBorder="1">
      <alignment/>
      <protection/>
    </xf>
    <xf numFmtId="49" fontId="0" fillId="0" borderId="26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>
      <alignment vertical="center" wrapText="1"/>
    </xf>
    <xf numFmtId="0" fontId="10" fillId="0" borderId="25" xfId="0" applyNumberFormat="1" applyFont="1" applyFill="1" applyBorder="1" applyAlignment="1" applyProtection="1">
      <alignment/>
      <protection/>
    </xf>
    <xf numFmtId="0" fontId="23" fillId="0" borderId="15" xfId="0" applyFont="1" applyFill="1" applyBorder="1" applyAlignment="1">
      <alignment vertical="center" wrapText="1"/>
    </xf>
    <xf numFmtId="49" fontId="0" fillId="0" borderId="23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wrapText="1"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1" fillId="4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0" fillId="4" borderId="0" xfId="0" applyFont="1" applyFill="1" applyAlignment="1">
      <alignment/>
    </xf>
    <xf numFmtId="0" fontId="5" fillId="0" borderId="0" xfId="0" applyFont="1" applyAlignment="1">
      <alignment/>
    </xf>
    <xf numFmtId="1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2" fontId="11" fillId="0" borderId="0" xfId="0" applyNumberFormat="1" applyFont="1" applyFill="1" applyAlignment="1" applyProtection="1">
      <alignment/>
      <protection/>
    </xf>
    <xf numFmtId="1" fontId="11" fillId="4" borderId="0" xfId="0" applyNumberFormat="1" applyFont="1" applyFill="1" applyAlignment="1" applyProtection="1">
      <alignment/>
      <protection/>
    </xf>
    <xf numFmtId="0" fontId="18" fillId="0" borderId="0" xfId="0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 applyProtection="1">
      <alignment/>
      <protection/>
    </xf>
    <xf numFmtId="1" fontId="10" fillId="0" borderId="13" xfId="0" applyNumberFormat="1" applyFont="1" applyFill="1" applyBorder="1" applyAlignment="1" applyProtection="1">
      <alignment/>
      <protection/>
    </xf>
    <xf numFmtId="2" fontId="10" fillId="0" borderId="28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15" xfId="0" applyFont="1" applyFill="1" applyBorder="1" applyAlignment="1">
      <alignment wrapText="1"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vertical="center" wrapText="1"/>
    </xf>
    <xf numFmtId="0" fontId="11" fillId="0" borderId="2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16" fillId="0" borderId="25" xfId="0" applyFont="1" applyFill="1" applyBorder="1" applyAlignment="1">
      <alignment vertical="center"/>
    </xf>
    <xf numFmtId="2" fontId="12" fillId="0" borderId="25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>
      <alignment/>
    </xf>
    <xf numFmtId="1" fontId="11" fillId="0" borderId="0" xfId="0" applyNumberFormat="1" applyFont="1" applyFill="1" applyAlignment="1" applyProtection="1">
      <alignment/>
      <protection/>
    </xf>
    <xf numFmtId="1" fontId="22" fillId="0" borderId="25" xfId="0" applyNumberFormat="1" applyFont="1" applyFill="1" applyBorder="1" applyAlignment="1">
      <alignment/>
    </xf>
    <xf numFmtId="2" fontId="11" fillId="0" borderId="0" xfId="0" applyNumberFormat="1" applyFont="1" applyFill="1" applyAlignment="1" applyProtection="1">
      <alignment wrapText="1"/>
      <protection/>
    </xf>
    <xf numFmtId="16" fontId="11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 wrapText="1"/>
      <protection/>
    </xf>
    <xf numFmtId="1" fontId="1" fillId="0" borderId="15" xfId="0" applyNumberFormat="1" applyFont="1" applyFill="1" applyBorder="1" applyAlignment="1" applyProtection="1">
      <alignment/>
      <protection/>
    </xf>
    <xf numFmtId="2" fontId="11" fillId="0" borderId="15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>
      <alignment/>
    </xf>
    <xf numFmtId="1" fontId="10" fillId="0" borderId="25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1" fontId="10" fillId="0" borderId="27" xfId="0" applyNumberFormat="1" applyFont="1" applyFill="1" applyBorder="1" applyAlignment="1" applyProtection="1">
      <alignment/>
      <protection/>
    </xf>
    <xf numFmtId="1" fontId="3" fillId="0" borderId="15" xfId="52" applyNumberFormat="1" applyFont="1" applyFill="1" applyBorder="1">
      <alignment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1"/>
  <sheetViews>
    <sheetView tabSelected="1" view="pageBreakPreview" zoomScaleSheetLayoutView="100" zoomScalePageLayoutView="0" workbookViewId="0" topLeftCell="A1">
      <selection activeCell="A3" sqref="A3:P3"/>
    </sheetView>
  </sheetViews>
  <sheetFormatPr defaultColWidth="9.140625" defaultRowHeight="12.75"/>
  <cols>
    <col min="1" max="1" width="14.7109375" style="6" customWidth="1"/>
    <col min="2" max="2" width="12.8515625" style="6" customWidth="1"/>
    <col min="3" max="3" width="19.57421875" style="6" customWidth="1"/>
    <col min="4" max="4" width="15.28125" style="6" customWidth="1"/>
    <col min="5" max="5" width="15.57421875" style="88" customWidth="1"/>
    <col min="6" max="6" width="14.140625" style="88" customWidth="1"/>
    <col min="7" max="7" width="15.28125" style="6" customWidth="1"/>
    <col min="8" max="8" width="8.421875" style="6" customWidth="1"/>
    <col min="9" max="9" width="13.421875" style="6" customWidth="1"/>
    <col min="10" max="10" width="14.8515625" style="88" customWidth="1"/>
    <col min="11" max="11" width="12.140625" style="6" customWidth="1"/>
    <col min="12" max="12" width="10.8515625" style="6" customWidth="1"/>
    <col min="13" max="13" width="14.8515625" style="6" customWidth="1"/>
    <col min="14" max="14" width="13.8515625" style="88" customWidth="1"/>
    <col min="15" max="15" width="9.7109375" style="6" hidden="1" customWidth="1"/>
    <col min="16" max="16" width="16.28125" style="6" customWidth="1"/>
    <col min="17" max="17" width="9.140625" style="6" customWidth="1"/>
    <col min="18" max="18" width="9.140625" style="6" hidden="1" customWidth="1"/>
    <col min="19" max="21" width="10.57421875" style="6" bestFit="1" customWidth="1"/>
    <col min="22" max="16384" width="9.140625" style="6" customWidth="1"/>
  </cols>
  <sheetData>
    <row r="1" spans="1:17" ht="15">
      <c r="A1" s="1" t="s">
        <v>0</v>
      </c>
      <c r="B1" s="1"/>
      <c r="C1" s="2"/>
      <c r="D1" s="3"/>
      <c r="E1" s="98"/>
      <c r="F1" s="98"/>
      <c r="G1" s="3"/>
      <c r="H1" s="3"/>
      <c r="I1" s="3"/>
      <c r="J1" s="3"/>
      <c r="K1" s="3"/>
      <c r="L1" s="126" t="s">
        <v>1</v>
      </c>
      <c r="M1" s="126"/>
      <c r="N1" s="126"/>
      <c r="O1" s="4"/>
      <c r="P1" s="4"/>
      <c r="Q1" s="5"/>
    </row>
    <row r="2" spans="1:17" ht="15">
      <c r="A2" s="1"/>
      <c r="B2" s="1"/>
      <c r="C2" s="2"/>
      <c r="D2" s="3"/>
      <c r="E2" s="98"/>
      <c r="F2" s="99"/>
      <c r="G2" s="90"/>
      <c r="H2" s="3"/>
      <c r="I2" s="3"/>
      <c r="J2" s="3"/>
      <c r="K2" s="3"/>
      <c r="L2" s="126" t="s">
        <v>140</v>
      </c>
      <c r="M2" s="126"/>
      <c r="N2" s="126"/>
      <c r="O2" s="4"/>
      <c r="P2" s="4"/>
      <c r="Q2" s="5"/>
    </row>
    <row r="3" spans="1:17" ht="28.5" customHeight="1">
      <c r="A3" s="127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5"/>
    </row>
    <row r="4" spans="1:17" ht="12.75" customHeight="1" thickBot="1">
      <c r="A4" s="7"/>
      <c r="B4" s="7"/>
      <c r="C4" s="8"/>
      <c r="D4" s="7"/>
      <c r="E4" s="7"/>
      <c r="F4" s="100"/>
      <c r="G4" s="7"/>
      <c r="H4" s="7"/>
      <c r="I4" s="9"/>
      <c r="J4" s="10"/>
      <c r="K4" s="10"/>
      <c r="L4" s="10"/>
      <c r="M4" s="10"/>
      <c r="N4" s="10"/>
      <c r="O4" s="10"/>
      <c r="P4" s="11" t="s">
        <v>3</v>
      </c>
      <c r="Q4" s="5"/>
    </row>
    <row r="5" spans="1:17" ht="12.75">
      <c r="A5" s="128" t="s">
        <v>4</v>
      </c>
      <c r="B5" s="130" t="s">
        <v>5</v>
      </c>
      <c r="C5" s="133" t="s">
        <v>6</v>
      </c>
      <c r="D5" s="137" t="s">
        <v>7</v>
      </c>
      <c r="E5" s="138"/>
      <c r="F5" s="138"/>
      <c r="G5" s="138"/>
      <c r="H5" s="138"/>
      <c r="I5" s="140" t="s">
        <v>8</v>
      </c>
      <c r="J5" s="141"/>
      <c r="K5" s="141"/>
      <c r="L5" s="141"/>
      <c r="M5" s="141"/>
      <c r="N5" s="141"/>
      <c r="O5" s="141"/>
      <c r="P5" s="144" t="s">
        <v>9</v>
      </c>
      <c r="Q5" s="5"/>
    </row>
    <row r="6" spans="1:18" ht="12.75">
      <c r="A6" s="129"/>
      <c r="B6" s="131"/>
      <c r="C6" s="134"/>
      <c r="D6" s="139"/>
      <c r="E6" s="139"/>
      <c r="F6" s="139"/>
      <c r="G6" s="139"/>
      <c r="H6" s="139"/>
      <c r="I6" s="142"/>
      <c r="J6" s="143"/>
      <c r="K6" s="143"/>
      <c r="L6" s="143"/>
      <c r="M6" s="143"/>
      <c r="N6" s="143"/>
      <c r="O6" s="143"/>
      <c r="P6" s="145"/>
      <c r="Q6" s="5"/>
      <c r="R6" s="6" t="s">
        <v>10</v>
      </c>
    </row>
    <row r="7" spans="1:17" ht="4.5" customHeight="1">
      <c r="A7" s="129"/>
      <c r="B7" s="131"/>
      <c r="C7" s="134"/>
      <c r="D7" s="139"/>
      <c r="E7" s="139"/>
      <c r="F7" s="139"/>
      <c r="G7" s="139"/>
      <c r="H7" s="139"/>
      <c r="I7" s="142"/>
      <c r="J7" s="143"/>
      <c r="K7" s="143"/>
      <c r="L7" s="143"/>
      <c r="M7" s="143"/>
      <c r="N7" s="143"/>
      <c r="O7" s="143"/>
      <c r="P7" s="145"/>
      <c r="Q7" s="5"/>
    </row>
    <row r="8" spans="1:17" ht="12.75" hidden="1">
      <c r="A8" s="129"/>
      <c r="B8" s="131"/>
      <c r="C8" s="134"/>
      <c r="D8" s="139"/>
      <c r="E8" s="139"/>
      <c r="F8" s="139"/>
      <c r="G8" s="139"/>
      <c r="H8" s="139"/>
      <c r="I8" s="142"/>
      <c r="J8" s="143"/>
      <c r="K8" s="143"/>
      <c r="L8" s="143"/>
      <c r="M8" s="143"/>
      <c r="N8" s="143"/>
      <c r="O8" s="143"/>
      <c r="P8" s="145"/>
      <c r="Q8" s="5"/>
    </row>
    <row r="9" spans="1:17" ht="12.75" hidden="1">
      <c r="A9" s="147" t="s">
        <v>11</v>
      </c>
      <c r="B9" s="131"/>
      <c r="C9" s="135"/>
      <c r="D9" s="139"/>
      <c r="E9" s="139"/>
      <c r="F9" s="139"/>
      <c r="G9" s="139"/>
      <c r="H9" s="139"/>
      <c r="I9" s="142"/>
      <c r="J9" s="143"/>
      <c r="K9" s="143"/>
      <c r="L9" s="143"/>
      <c r="M9" s="143"/>
      <c r="N9" s="143"/>
      <c r="O9" s="143"/>
      <c r="P9" s="145"/>
      <c r="Q9" s="5"/>
    </row>
    <row r="10" spans="1:17" ht="15.75">
      <c r="A10" s="147"/>
      <c r="B10" s="131"/>
      <c r="C10" s="135"/>
      <c r="D10" s="149" t="s">
        <v>12</v>
      </c>
      <c r="E10" s="151" t="s">
        <v>13</v>
      </c>
      <c r="F10" s="149" t="s">
        <v>14</v>
      </c>
      <c r="G10" s="149"/>
      <c r="H10" s="151" t="s">
        <v>15</v>
      </c>
      <c r="I10" s="149" t="s">
        <v>12</v>
      </c>
      <c r="J10" s="151" t="s">
        <v>13</v>
      </c>
      <c r="K10" s="149" t="s">
        <v>14</v>
      </c>
      <c r="L10" s="149"/>
      <c r="M10" s="151" t="s">
        <v>15</v>
      </c>
      <c r="N10" s="101" t="s">
        <v>14</v>
      </c>
      <c r="O10" s="102" t="s">
        <v>16</v>
      </c>
      <c r="P10" s="145"/>
      <c r="Q10" s="5"/>
    </row>
    <row r="11" spans="1:17" ht="24.75" customHeight="1">
      <c r="A11" s="147"/>
      <c r="B11" s="131"/>
      <c r="C11" s="135"/>
      <c r="D11" s="149"/>
      <c r="E11" s="151"/>
      <c r="F11" s="149" t="s">
        <v>17</v>
      </c>
      <c r="G11" s="149" t="s">
        <v>18</v>
      </c>
      <c r="H11" s="151"/>
      <c r="I11" s="149"/>
      <c r="J11" s="151"/>
      <c r="K11" s="149" t="s">
        <v>17</v>
      </c>
      <c r="L11" s="149" t="s">
        <v>18</v>
      </c>
      <c r="M11" s="151"/>
      <c r="N11" s="153" t="s">
        <v>19</v>
      </c>
      <c r="O11" s="103" t="s">
        <v>20</v>
      </c>
      <c r="P11" s="145"/>
      <c r="Q11" s="5"/>
    </row>
    <row r="12" spans="1:17" ht="11.25" customHeight="1" hidden="1">
      <c r="A12" s="148"/>
      <c r="B12" s="132"/>
      <c r="C12" s="136"/>
      <c r="D12" s="150"/>
      <c r="E12" s="152"/>
      <c r="F12" s="150"/>
      <c r="G12" s="150"/>
      <c r="H12" s="152"/>
      <c r="I12" s="150"/>
      <c r="J12" s="152"/>
      <c r="K12" s="150"/>
      <c r="L12" s="150"/>
      <c r="M12" s="152"/>
      <c r="N12" s="154"/>
      <c r="O12" s="104" t="s">
        <v>21</v>
      </c>
      <c r="P12" s="146"/>
      <c r="Q12" s="5"/>
    </row>
    <row r="13" spans="1:17" ht="60.75" customHeight="1" hidden="1">
      <c r="A13" s="12" t="s">
        <v>22</v>
      </c>
      <c r="B13" s="13"/>
      <c r="C13" s="14" t="s">
        <v>23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7"/>
      <c r="Q13" s="18"/>
    </row>
    <row r="14" spans="1:17" ht="9.75" customHeight="1" hidden="1">
      <c r="A14" s="19" t="s">
        <v>24</v>
      </c>
      <c r="B14" s="20"/>
      <c r="C14" s="21" t="s">
        <v>25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24"/>
      <c r="Q14" s="18"/>
    </row>
    <row r="15" spans="1:17" ht="25.5" hidden="1">
      <c r="A15" s="25" t="s">
        <v>26</v>
      </c>
      <c r="B15" s="26" t="s">
        <v>27</v>
      </c>
      <c r="C15" s="27" t="s">
        <v>28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24"/>
      <c r="Q15" s="5"/>
    </row>
    <row r="16" spans="1:17" ht="16.5" hidden="1">
      <c r="A16" s="19" t="s">
        <v>29</v>
      </c>
      <c r="B16" s="20"/>
      <c r="C16" s="21" t="s">
        <v>30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  <c r="P16" s="24"/>
      <c r="Q16" s="18"/>
    </row>
    <row r="17" spans="1:17" ht="16.5" hidden="1">
      <c r="A17" s="25" t="s">
        <v>31</v>
      </c>
      <c r="B17" s="26" t="s">
        <v>32</v>
      </c>
      <c r="C17" s="27" t="s">
        <v>33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4"/>
      <c r="Q17" s="5"/>
    </row>
    <row r="18" spans="1:17" ht="38.25" hidden="1">
      <c r="A18" s="25"/>
      <c r="B18" s="26"/>
      <c r="C18" s="27" t="s">
        <v>34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24"/>
      <c r="Q18" s="5"/>
    </row>
    <row r="19" spans="1:17" ht="38.25" hidden="1">
      <c r="A19" s="25"/>
      <c r="B19" s="26"/>
      <c r="C19" s="27" t="s">
        <v>35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24"/>
      <c r="Q19" s="5"/>
    </row>
    <row r="20" spans="1:17" ht="51" customHeight="1" hidden="1">
      <c r="A20" s="25" t="s">
        <v>36</v>
      </c>
      <c r="B20" s="26" t="s">
        <v>37</v>
      </c>
      <c r="C20" s="30" t="s">
        <v>38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4"/>
      <c r="Q20" s="5"/>
    </row>
    <row r="21" spans="1:17" ht="38.25" hidden="1">
      <c r="A21" s="25"/>
      <c r="B21" s="26"/>
      <c r="C21" s="27" t="s">
        <v>34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24"/>
      <c r="Q21" s="5"/>
    </row>
    <row r="22" spans="1:17" ht="38.25" hidden="1">
      <c r="A22" s="25"/>
      <c r="B22" s="26"/>
      <c r="C22" s="27" t="s">
        <v>35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24"/>
      <c r="Q22" s="5"/>
    </row>
    <row r="23" spans="1:17" ht="25.5" hidden="1">
      <c r="A23" s="25" t="s">
        <v>39</v>
      </c>
      <c r="B23" s="26" t="s">
        <v>40</v>
      </c>
      <c r="C23" s="27" t="s">
        <v>41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24"/>
      <c r="Q23" s="5"/>
    </row>
    <row r="24" spans="1:17" ht="38.25" hidden="1">
      <c r="A24" s="19" t="s">
        <v>42</v>
      </c>
      <c r="B24" s="26"/>
      <c r="C24" s="21" t="s">
        <v>43</v>
      </c>
      <c r="D24" s="22"/>
      <c r="E24" s="22"/>
      <c r="F24" s="22"/>
      <c r="G24" s="22"/>
      <c r="H24" s="22"/>
      <c r="I24" s="28"/>
      <c r="J24" s="22"/>
      <c r="K24" s="22"/>
      <c r="L24" s="22"/>
      <c r="M24" s="22"/>
      <c r="N24" s="22"/>
      <c r="O24" s="23"/>
      <c r="P24" s="24"/>
      <c r="Q24" s="18"/>
    </row>
    <row r="25" spans="1:17" ht="0.75" customHeight="1" hidden="1">
      <c r="A25" s="25" t="s">
        <v>44</v>
      </c>
      <c r="B25" s="26" t="s">
        <v>45</v>
      </c>
      <c r="C25" s="27" t="s">
        <v>46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24"/>
      <c r="Q25" s="5"/>
    </row>
    <row r="26" spans="1:17" ht="51" hidden="1">
      <c r="A26" s="25" t="s">
        <v>47</v>
      </c>
      <c r="B26" s="26" t="s">
        <v>48</v>
      </c>
      <c r="C26" s="27" t="s">
        <v>49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24"/>
      <c r="Q26" s="5"/>
    </row>
    <row r="27" spans="1:17" ht="38.25" hidden="1">
      <c r="A27" s="25" t="s">
        <v>50</v>
      </c>
      <c r="B27" s="26" t="s">
        <v>51</v>
      </c>
      <c r="C27" s="27" t="s">
        <v>52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24"/>
      <c r="Q27" s="5"/>
    </row>
    <row r="28" spans="1:17" ht="51" hidden="1">
      <c r="A28" s="25" t="s">
        <v>53</v>
      </c>
      <c r="B28" s="26" t="s">
        <v>51</v>
      </c>
      <c r="C28" s="27" t="s">
        <v>54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24"/>
      <c r="Q28" s="5"/>
    </row>
    <row r="29" spans="1:17" ht="51" hidden="1">
      <c r="A29" s="25" t="s">
        <v>55</v>
      </c>
      <c r="B29" s="26" t="s">
        <v>51</v>
      </c>
      <c r="C29" s="27" t="s">
        <v>56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24"/>
      <c r="Q29" s="5"/>
    </row>
    <row r="30" spans="1:17" ht="38.25" hidden="1">
      <c r="A30" s="19">
        <v>100000</v>
      </c>
      <c r="B30" s="26"/>
      <c r="C30" s="21" t="s">
        <v>57</v>
      </c>
      <c r="D30" s="22"/>
      <c r="E30" s="22"/>
      <c r="F30" s="22"/>
      <c r="G30" s="22"/>
      <c r="H30" s="22"/>
      <c r="I30" s="28"/>
      <c r="J30" s="22"/>
      <c r="K30" s="22"/>
      <c r="L30" s="22"/>
      <c r="M30" s="22"/>
      <c r="N30" s="22"/>
      <c r="O30" s="23"/>
      <c r="P30" s="24"/>
      <c r="Q30" s="18"/>
    </row>
    <row r="31" spans="1:17" ht="51" hidden="1">
      <c r="A31" s="31" t="s">
        <v>58</v>
      </c>
      <c r="B31" s="26" t="s">
        <v>59</v>
      </c>
      <c r="C31" s="27" t="s">
        <v>60</v>
      </c>
      <c r="D31" s="28"/>
      <c r="E31" s="28"/>
      <c r="F31" s="28"/>
      <c r="G31" s="28"/>
      <c r="H31" s="28"/>
      <c r="I31" s="22"/>
      <c r="J31" s="28"/>
      <c r="K31" s="28"/>
      <c r="L31" s="28"/>
      <c r="M31" s="28"/>
      <c r="N31" s="28"/>
      <c r="O31" s="29"/>
      <c r="P31" s="24"/>
      <c r="Q31" s="5"/>
    </row>
    <row r="32" spans="1:17" ht="21" customHeight="1" hidden="1">
      <c r="A32" s="31" t="s">
        <v>61</v>
      </c>
      <c r="B32" s="26" t="s">
        <v>62</v>
      </c>
      <c r="C32" s="32" t="s">
        <v>63</v>
      </c>
      <c r="D32" s="28"/>
      <c r="E32" s="28"/>
      <c r="F32" s="28"/>
      <c r="G32" s="28"/>
      <c r="H32" s="28"/>
      <c r="I32" s="22"/>
      <c r="J32" s="28"/>
      <c r="K32" s="28"/>
      <c r="L32" s="28"/>
      <c r="M32" s="28"/>
      <c r="N32" s="28"/>
      <c r="O32" s="29"/>
      <c r="P32" s="24"/>
      <c r="Q32" s="5"/>
    </row>
    <row r="33" spans="1:17" ht="25.5" hidden="1">
      <c r="A33" s="25">
        <v>100203</v>
      </c>
      <c r="B33" s="26" t="s">
        <v>62</v>
      </c>
      <c r="C33" s="27" t="s">
        <v>64</v>
      </c>
      <c r="D33" s="28"/>
      <c r="E33" s="28"/>
      <c r="F33" s="28"/>
      <c r="G33" s="28"/>
      <c r="H33" s="28"/>
      <c r="I33" s="22"/>
      <c r="J33" s="28"/>
      <c r="K33" s="28"/>
      <c r="L33" s="28"/>
      <c r="M33" s="28"/>
      <c r="N33" s="28"/>
      <c r="O33" s="29"/>
      <c r="P33" s="24"/>
      <c r="Q33" s="5"/>
    </row>
    <row r="34" spans="1:17" ht="63.75" customHeight="1" hidden="1">
      <c r="A34" s="25" t="s">
        <v>65</v>
      </c>
      <c r="B34" s="26" t="s">
        <v>62</v>
      </c>
      <c r="C34" s="33" t="s">
        <v>66</v>
      </c>
      <c r="D34" s="28"/>
      <c r="E34" s="28"/>
      <c r="F34" s="28"/>
      <c r="G34" s="28"/>
      <c r="H34" s="28"/>
      <c r="I34" s="22"/>
      <c r="J34" s="28"/>
      <c r="K34" s="28"/>
      <c r="L34" s="28"/>
      <c r="M34" s="28"/>
      <c r="N34" s="28"/>
      <c r="O34" s="29"/>
      <c r="P34" s="24"/>
      <c r="Q34" s="5"/>
    </row>
    <row r="35" spans="1:17" ht="25.5" hidden="1">
      <c r="A35" s="19">
        <v>120000</v>
      </c>
      <c r="B35" s="26"/>
      <c r="C35" s="21" t="s">
        <v>67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3"/>
      <c r="P35" s="24"/>
      <c r="Q35" s="18"/>
    </row>
    <row r="36" spans="1:17" ht="25.5" hidden="1">
      <c r="A36" s="31">
        <v>120100</v>
      </c>
      <c r="B36" s="26" t="s">
        <v>68</v>
      </c>
      <c r="C36" s="34" t="s">
        <v>69</v>
      </c>
      <c r="D36" s="28"/>
      <c r="E36" s="28"/>
      <c r="F36" s="28"/>
      <c r="G36" s="28"/>
      <c r="H36" s="28"/>
      <c r="I36" s="22"/>
      <c r="J36" s="28"/>
      <c r="K36" s="28"/>
      <c r="L36" s="28"/>
      <c r="M36" s="28"/>
      <c r="N36" s="28"/>
      <c r="O36" s="29"/>
      <c r="P36" s="24"/>
      <c r="Q36" s="5"/>
    </row>
    <row r="37" spans="1:17" ht="3" customHeight="1" hidden="1">
      <c r="A37" s="25">
        <v>120201</v>
      </c>
      <c r="B37" s="26" t="s">
        <v>68</v>
      </c>
      <c r="C37" s="27" t="s">
        <v>70</v>
      </c>
      <c r="D37" s="28"/>
      <c r="E37" s="28"/>
      <c r="F37" s="28"/>
      <c r="G37" s="28"/>
      <c r="H37" s="28"/>
      <c r="I37" s="22"/>
      <c r="J37" s="28"/>
      <c r="K37" s="28"/>
      <c r="L37" s="28"/>
      <c r="M37" s="28"/>
      <c r="N37" s="28"/>
      <c r="O37" s="29"/>
      <c r="P37" s="24"/>
      <c r="Q37" s="5"/>
    </row>
    <row r="38" spans="1:17" ht="16.5" hidden="1">
      <c r="A38" s="19">
        <v>150000</v>
      </c>
      <c r="B38" s="26"/>
      <c r="C38" s="21" t="s">
        <v>71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  <c r="P38" s="24"/>
      <c r="Q38" s="5"/>
    </row>
    <row r="39" spans="1:17" ht="16.5" hidden="1">
      <c r="A39" s="25">
        <v>150101</v>
      </c>
      <c r="B39" s="26" t="s">
        <v>72</v>
      </c>
      <c r="C39" s="27" t="s">
        <v>73</v>
      </c>
      <c r="D39" s="28"/>
      <c r="E39" s="28"/>
      <c r="F39" s="28"/>
      <c r="G39" s="28"/>
      <c r="H39" s="28"/>
      <c r="I39" s="22"/>
      <c r="J39" s="28"/>
      <c r="K39" s="28"/>
      <c r="L39" s="28"/>
      <c r="M39" s="28"/>
      <c r="N39" s="28"/>
      <c r="O39" s="29"/>
      <c r="P39" s="24"/>
      <c r="Q39" s="5"/>
    </row>
    <row r="40" spans="1:17" ht="51" hidden="1">
      <c r="A40" s="25" t="s">
        <v>74</v>
      </c>
      <c r="B40" s="26" t="s">
        <v>75</v>
      </c>
      <c r="C40" s="27" t="s">
        <v>76</v>
      </c>
      <c r="D40" s="28"/>
      <c r="E40" s="28"/>
      <c r="F40" s="28"/>
      <c r="G40" s="28"/>
      <c r="H40" s="28"/>
      <c r="I40" s="22"/>
      <c r="J40" s="28"/>
      <c r="K40" s="28"/>
      <c r="L40" s="28"/>
      <c r="M40" s="28"/>
      <c r="N40" s="28"/>
      <c r="O40" s="29"/>
      <c r="P40" s="24"/>
      <c r="Q40" s="5"/>
    </row>
    <row r="41" spans="1:17" ht="40.5" customHeight="1" hidden="1">
      <c r="A41" s="19" t="s">
        <v>77</v>
      </c>
      <c r="B41" s="26"/>
      <c r="C41" s="21" t="s">
        <v>78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3"/>
      <c r="P41" s="24"/>
      <c r="Q41" s="18"/>
    </row>
    <row r="42" spans="1:17" ht="16.5" hidden="1">
      <c r="A42" s="25" t="s">
        <v>79</v>
      </c>
      <c r="B42" s="26" t="s">
        <v>80</v>
      </c>
      <c r="C42" s="34" t="s">
        <v>81</v>
      </c>
      <c r="D42" s="28"/>
      <c r="E42" s="28"/>
      <c r="F42" s="28"/>
      <c r="G42" s="28"/>
      <c r="H42" s="28"/>
      <c r="I42" s="22"/>
      <c r="J42" s="28"/>
      <c r="K42" s="28"/>
      <c r="L42" s="28"/>
      <c r="M42" s="28"/>
      <c r="N42" s="28"/>
      <c r="O42" s="29"/>
      <c r="P42" s="24"/>
      <c r="Q42" s="5"/>
    </row>
    <row r="43" spans="1:17" ht="76.5" hidden="1">
      <c r="A43" s="19">
        <v>170000</v>
      </c>
      <c r="B43" s="26"/>
      <c r="C43" s="21" t="s">
        <v>82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24"/>
      <c r="Q43" s="18"/>
    </row>
    <row r="44" spans="1:17" ht="102" hidden="1">
      <c r="A44" s="25">
        <v>170703</v>
      </c>
      <c r="B44" s="26" t="s">
        <v>83</v>
      </c>
      <c r="C44" s="27" t="s">
        <v>84</v>
      </c>
      <c r="D44" s="28"/>
      <c r="E44" s="28"/>
      <c r="F44" s="28"/>
      <c r="G44" s="28"/>
      <c r="H44" s="28"/>
      <c r="I44" s="22"/>
      <c r="J44" s="28"/>
      <c r="K44" s="28"/>
      <c r="L44" s="28"/>
      <c r="M44" s="28"/>
      <c r="N44" s="28"/>
      <c r="O44" s="29"/>
      <c r="P44" s="24"/>
      <c r="Q44" s="5"/>
    </row>
    <row r="45" spans="1:17" ht="51" hidden="1">
      <c r="A45" s="19">
        <v>180000</v>
      </c>
      <c r="B45" s="26"/>
      <c r="C45" s="21" t="s">
        <v>85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3"/>
      <c r="P45" s="24"/>
      <c r="Q45" s="18"/>
    </row>
    <row r="46" spans="1:17" ht="109.5" customHeight="1" hidden="1">
      <c r="A46" s="25">
        <v>180409</v>
      </c>
      <c r="B46" s="26" t="s">
        <v>72</v>
      </c>
      <c r="C46" s="27" t="s">
        <v>86</v>
      </c>
      <c r="D46" s="28"/>
      <c r="E46" s="28"/>
      <c r="F46" s="28"/>
      <c r="G46" s="28"/>
      <c r="H46" s="28"/>
      <c r="I46" s="22"/>
      <c r="J46" s="28"/>
      <c r="K46" s="28"/>
      <c r="L46" s="28"/>
      <c r="M46" s="28"/>
      <c r="N46" s="28"/>
      <c r="O46" s="29"/>
      <c r="P46" s="24"/>
      <c r="Q46" s="5"/>
    </row>
    <row r="47" spans="1:17" ht="16.5" hidden="1">
      <c r="A47" s="31"/>
      <c r="B47" s="26"/>
      <c r="C47" s="105"/>
      <c r="D47" s="22"/>
      <c r="E47" s="22"/>
      <c r="F47" s="28"/>
      <c r="G47" s="28"/>
      <c r="H47" s="28"/>
      <c r="I47" s="22"/>
      <c r="J47" s="28"/>
      <c r="K47" s="28"/>
      <c r="L47" s="28"/>
      <c r="M47" s="22"/>
      <c r="N47" s="22"/>
      <c r="O47" s="23"/>
      <c r="P47" s="24"/>
      <c r="Q47" s="5"/>
    </row>
    <row r="48" spans="1:17" ht="16.5" hidden="1">
      <c r="A48" s="31"/>
      <c r="B48" s="26"/>
      <c r="C48" s="106"/>
      <c r="D48" s="28"/>
      <c r="E48" s="28"/>
      <c r="F48" s="28"/>
      <c r="G48" s="28"/>
      <c r="H48" s="28"/>
      <c r="I48" s="22"/>
      <c r="J48" s="28"/>
      <c r="K48" s="28"/>
      <c r="L48" s="28"/>
      <c r="M48" s="28"/>
      <c r="N48" s="28"/>
      <c r="O48" s="29"/>
      <c r="P48" s="24"/>
      <c r="Q48" s="5"/>
    </row>
    <row r="49" spans="1:17" ht="16.5" hidden="1">
      <c r="A49" s="19">
        <v>240000</v>
      </c>
      <c r="B49" s="26"/>
      <c r="C49" s="21" t="s">
        <v>87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3"/>
      <c r="P49" s="24"/>
      <c r="Q49" s="18"/>
    </row>
    <row r="50" spans="1:17" ht="3.75" customHeight="1" hidden="1">
      <c r="A50" s="25">
        <v>240601</v>
      </c>
      <c r="B50" s="26" t="s">
        <v>88</v>
      </c>
      <c r="C50" s="27" t="s">
        <v>89</v>
      </c>
      <c r="D50" s="28"/>
      <c r="E50" s="28"/>
      <c r="F50" s="28"/>
      <c r="G50" s="28"/>
      <c r="H50" s="28"/>
      <c r="I50" s="22"/>
      <c r="J50" s="28"/>
      <c r="K50" s="28"/>
      <c r="L50" s="28"/>
      <c r="M50" s="28"/>
      <c r="N50" s="28"/>
      <c r="O50" s="29"/>
      <c r="P50" s="24"/>
      <c r="Q50" s="5"/>
    </row>
    <row r="51" spans="1:17" ht="38.25" hidden="1">
      <c r="A51" s="19">
        <v>250000</v>
      </c>
      <c r="B51" s="26"/>
      <c r="C51" s="21" t="s">
        <v>90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3"/>
      <c r="P51" s="24"/>
      <c r="Q51" s="18"/>
    </row>
    <row r="52" spans="1:17" ht="17.25" hidden="1" thickBot="1">
      <c r="A52" s="35"/>
      <c r="B52" s="36" t="s">
        <v>91</v>
      </c>
      <c r="C52" s="37" t="s">
        <v>92</v>
      </c>
      <c r="D52" s="38"/>
      <c r="E52" s="38"/>
      <c r="F52" s="38"/>
      <c r="G52" s="38"/>
      <c r="H52" s="38"/>
      <c r="I52" s="39"/>
      <c r="J52" s="38"/>
      <c r="K52" s="38"/>
      <c r="L52" s="38"/>
      <c r="M52" s="38"/>
      <c r="N52" s="38"/>
      <c r="O52" s="40"/>
      <c r="P52" s="41"/>
      <c r="Q52" s="5"/>
    </row>
    <row r="53" spans="1:17" ht="96" customHeight="1" hidden="1">
      <c r="A53" s="72" t="s">
        <v>93</v>
      </c>
      <c r="B53" s="107" t="s">
        <v>72</v>
      </c>
      <c r="C53" s="108" t="s">
        <v>94</v>
      </c>
      <c r="D53" s="109"/>
      <c r="E53" s="109"/>
      <c r="F53" s="109"/>
      <c r="G53" s="109"/>
      <c r="H53" s="109"/>
      <c r="I53" s="75"/>
      <c r="J53" s="109"/>
      <c r="K53" s="109"/>
      <c r="L53" s="109"/>
      <c r="M53" s="109"/>
      <c r="N53" s="109"/>
      <c r="O53" s="110"/>
      <c r="P53" s="17">
        <f>D53+I53</f>
        <v>0</v>
      </c>
      <c r="Q53" s="5"/>
    </row>
    <row r="54" spans="1:17" ht="38.25" hidden="1">
      <c r="A54" s="19" t="s">
        <v>95</v>
      </c>
      <c r="B54" s="26"/>
      <c r="C54" s="21" t="s">
        <v>96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42"/>
      <c r="P54" s="24"/>
      <c r="Q54" s="18"/>
    </row>
    <row r="55" spans="1:17" ht="25.5" hidden="1">
      <c r="A55" s="19" t="s">
        <v>24</v>
      </c>
      <c r="B55" s="26"/>
      <c r="C55" s="21" t="s">
        <v>25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3"/>
      <c r="P55" s="24"/>
      <c r="Q55" s="18"/>
    </row>
    <row r="56" spans="1:17" ht="25.5" hidden="1">
      <c r="A56" s="25" t="s">
        <v>26</v>
      </c>
      <c r="B56" s="26" t="s">
        <v>27</v>
      </c>
      <c r="C56" s="27" t="s">
        <v>28</v>
      </c>
      <c r="D56" s="28"/>
      <c r="E56" s="28"/>
      <c r="F56" s="28"/>
      <c r="G56" s="28"/>
      <c r="H56" s="28"/>
      <c r="I56" s="22"/>
      <c r="J56" s="28"/>
      <c r="K56" s="28"/>
      <c r="L56" s="28"/>
      <c r="M56" s="28"/>
      <c r="N56" s="28"/>
      <c r="O56" s="29"/>
      <c r="P56" s="24"/>
      <c r="Q56" s="5"/>
    </row>
    <row r="57" spans="1:17" ht="16.5" hidden="1">
      <c r="A57" s="19" t="s">
        <v>97</v>
      </c>
      <c r="B57" s="26"/>
      <c r="C57" s="21" t="s">
        <v>98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3"/>
      <c r="P57" s="24"/>
      <c r="Q57" s="18"/>
    </row>
    <row r="58" spans="1:17" ht="25.5" hidden="1">
      <c r="A58" s="25" t="s">
        <v>99</v>
      </c>
      <c r="B58" s="26" t="s">
        <v>100</v>
      </c>
      <c r="C58" s="27" t="s">
        <v>101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/>
      <c r="P58" s="24"/>
      <c r="Q58" s="5"/>
    </row>
    <row r="59" spans="1:17" ht="61.5" customHeight="1">
      <c r="A59" s="25" t="s">
        <v>102</v>
      </c>
      <c r="B59" s="26" t="s">
        <v>103</v>
      </c>
      <c r="C59" s="27" t="s">
        <v>104</v>
      </c>
      <c r="D59" s="43">
        <f>D60+D75+D90+D105+D120+D135</f>
        <v>118499717.2</v>
      </c>
      <c r="E59" s="43">
        <f>E60+E75+E90+E105+E120+E135</f>
        <v>118499717.2</v>
      </c>
      <c r="F59" s="43">
        <f>F60+F75+F90+F105+F120+F135</f>
        <v>94166591.28</v>
      </c>
      <c r="G59" s="43">
        <f>G60+G75+G90+G105+G120+G135</f>
        <v>14285584</v>
      </c>
      <c r="H59" s="22"/>
      <c r="I59" s="44">
        <f aca="true" t="shared" si="0" ref="I59:N59">I60+I75+I90+I105+I120+I135</f>
        <v>4363765.74</v>
      </c>
      <c r="J59" s="44">
        <f t="shared" si="0"/>
        <v>1886839.74</v>
      </c>
      <c r="K59" s="44">
        <f t="shared" si="0"/>
        <v>720388.98</v>
      </c>
      <c r="L59" s="44">
        <f t="shared" si="0"/>
        <v>18570</v>
      </c>
      <c r="M59" s="44">
        <f t="shared" si="0"/>
        <v>2476926</v>
      </c>
      <c r="N59" s="44">
        <f t="shared" si="0"/>
        <v>2476926</v>
      </c>
      <c r="O59" s="23">
        <f>O60+O135+O151</f>
        <v>0</v>
      </c>
      <c r="P59" s="45">
        <f>D59+I59+O59</f>
        <v>122863482.94</v>
      </c>
      <c r="Q59" s="5"/>
    </row>
    <row r="60" spans="1:21" ht="35.25" customHeight="1">
      <c r="A60" s="25" t="s">
        <v>105</v>
      </c>
      <c r="B60" s="46" t="s">
        <v>106</v>
      </c>
      <c r="C60" s="47" t="s">
        <v>107</v>
      </c>
      <c r="D60" s="22">
        <f>E60</f>
        <v>73699478</v>
      </c>
      <c r="E60" s="43">
        <f>E61+E62+E63+E64+E65+E66+E67+E68+E69+E70+E71+E72+E73+E74</f>
        <v>73699478</v>
      </c>
      <c r="F60" s="43">
        <f>F61+F62+F63+F64+F65+F66+F67+F68+F69+F70+F71+F72+F73+F74</f>
        <v>73699478</v>
      </c>
      <c r="G60" s="43"/>
      <c r="H60" s="28">
        <f aca="true" t="shared" si="1" ref="H60:O60">H61+H62+H63+H64+H65+H66+H67+H68+H69+H70+H71+H72+H73+H74</f>
        <v>0</v>
      </c>
      <c r="I60" s="28">
        <f t="shared" si="1"/>
        <v>0</v>
      </c>
      <c r="J60" s="28">
        <f t="shared" si="1"/>
        <v>0</v>
      </c>
      <c r="K60" s="28">
        <f t="shared" si="1"/>
        <v>0</v>
      </c>
      <c r="L60" s="28">
        <f>L61+L62+L63+L64+L65+L66+L67+L68+L69+L70+L71+L72+L73+L74</f>
        <v>0</v>
      </c>
      <c r="M60" s="28">
        <f t="shared" si="1"/>
        <v>0</v>
      </c>
      <c r="N60" s="28">
        <f t="shared" si="1"/>
        <v>0</v>
      </c>
      <c r="O60" s="29">
        <f t="shared" si="1"/>
        <v>0</v>
      </c>
      <c r="P60" s="45">
        <f>D60+I60+O60</f>
        <v>73699478</v>
      </c>
      <c r="Q60" s="5"/>
      <c r="U60" s="6" t="s">
        <v>108</v>
      </c>
    </row>
    <row r="61" spans="1:17" ht="16.5">
      <c r="A61" s="48" t="s">
        <v>109</v>
      </c>
      <c r="B61" s="26"/>
      <c r="C61" s="27"/>
      <c r="D61" s="28">
        <f>E61</f>
        <v>6804963</v>
      </c>
      <c r="E61" s="54">
        <f aca="true" t="shared" si="2" ref="E61:E74">F61</f>
        <v>6804963</v>
      </c>
      <c r="F61" s="125">
        <f>6539966+264997</f>
        <v>6804963</v>
      </c>
      <c r="G61" s="119"/>
      <c r="H61" s="28"/>
      <c r="I61" s="22">
        <f>J61+M61</f>
        <v>0</v>
      </c>
      <c r="J61" s="28"/>
      <c r="K61" s="28"/>
      <c r="L61" s="28"/>
      <c r="M61" s="22">
        <f>N61</f>
        <v>0</v>
      </c>
      <c r="N61" s="28"/>
      <c r="O61" s="29"/>
      <c r="P61" s="50">
        <f>D61+I61</f>
        <v>6804963</v>
      </c>
      <c r="Q61" s="5"/>
    </row>
    <row r="62" spans="1:17" ht="16.5">
      <c r="A62" s="48" t="s">
        <v>110</v>
      </c>
      <c r="B62" s="26"/>
      <c r="C62" s="27"/>
      <c r="D62" s="28">
        <f>E62</f>
        <v>7077383</v>
      </c>
      <c r="E62" s="54">
        <f t="shared" si="2"/>
        <v>7077383</v>
      </c>
      <c r="F62" s="125">
        <f>7091643-14260</f>
        <v>7077383</v>
      </c>
      <c r="G62" s="49">
        <v>0</v>
      </c>
      <c r="H62" s="28"/>
      <c r="I62" s="22">
        <f aca="true" t="shared" si="3" ref="I62:I74">J62+M62</f>
        <v>0</v>
      </c>
      <c r="J62" s="28"/>
      <c r="K62" s="28"/>
      <c r="L62" s="28"/>
      <c r="M62" s="22">
        <f>N62</f>
        <v>0</v>
      </c>
      <c r="N62" s="28"/>
      <c r="O62" s="29"/>
      <c r="P62" s="50">
        <f>D62+I62</f>
        <v>7077383</v>
      </c>
      <c r="Q62" s="5"/>
    </row>
    <row r="63" spans="1:17" ht="16.5">
      <c r="A63" s="48" t="s">
        <v>111</v>
      </c>
      <c r="B63" s="26"/>
      <c r="C63" s="27"/>
      <c r="D63" s="28">
        <f>E63</f>
        <v>5432709</v>
      </c>
      <c r="E63" s="54">
        <f t="shared" si="2"/>
        <v>5432709</v>
      </c>
      <c r="F63" s="125">
        <f>5250599+182110</f>
        <v>5432709</v>
      </c>
      <c r="G63" s="49">
        <v>0</v>
      </c>
      <c r="H63" s="28"/>
      <c r="I63" s="22">
        <f>J63+M63</f>
        <v>0</v>
      </c>
      <c r="J63" s="28"/>
      <c r="K63" s="28"/>
      <c r="L63" s="28"/>
      <c r="M63" s="22">
        <f>N63</f>
        <v>0</v>
      </c>
      <c r="N63" s="28"/>
      <c r="O63" s="29"/>
      <c r="P63" s="50">
        <f>D63+I63+O63</f>
        <v>5432709</v>
      </c>
      <c r="Q63" s="5"/>
    </row>
    <row r="64" spans="1:17" ht="18.75">
      <c r="A64" s="48" t="s">
        <v>112</v>
      </c>
      <c r="B64" s="26"/>
      <c r="C64" s="27"/>
      <c r="D64" s="28">
        <f aca="true" t="shared" si="4" ref="D64:D74">E64</f>
        <v>3318992</v>
      </c>
      <c r="E64" s="54">
        <f t="shared" si="2"/>
        <v>3318992</v>
      </c>
      <c r="F64" s="125">
        <f>3225141+93851</f>
        <v>3318992</v>
      </c>
      <c r="G64" s="49">
        <v>0</v>
      </c>
      <c r="H64" s="28"/>
      <c r="I64" s="22">
        <f t="shared" si="3"/>
        <v>0</v>
      </c>
      <c r="J64" s="28"/>
      <c r="K64" s="28"/>
      <c r="L64" s="28"/>
      <c r="M64" s="22">
        <f aca="true" t="shared" si="5" ref="M64:M74">N64</f>
        <v>0</v>
      </c>
      <c r="N64" s="28"/>
      <c r="O64" s="29"/>
      <c r="P64" s="50">
        <f aca="true" t="shared" si="6" ref="P64:P74">D64+I64</f>
        <v>3318992</v>
      </c>
      <c r="Q64" s="51"/>
    </row>
    <row r="65" spans="1:18" ht="16.5">
      <c r="A65" s="48" t="s">
        <v>113</v>
      </c>
      <c r="B65" s="26"/>
      <c r="C65" s="27"/>
      <c r="D65" s="28">
        <f t="shared" si="4"/>
        <v>5204043</v>
      </c>
      <c r="E65" s="54">
        <f t="shared" si="2"/>
        <v>5204043</v>
      </c>
      <c r="F65" s="125">
        <f>5155289+48754</f>
        <v>5204043</v>
      </c>
      <c r="G65" s="28">
        <v>0</v>
      </c>
      <c r="H65" s="28"/>
      <c r="I65" s="22">
        <f t="shared" si="3"/>
        <v>0</v>
      </c>
      <c r="J65" s="28"/>
      <c r="K65" s="28"/>
      <c r="L65" s="28"/>
      <c r="M65" s="22">
        <f t="shared" si="5"/>
        <v>0</v>
      </c>
      <c r="N65" s="28"/>
      <c r="O65" s="29"/>
      <c r="P65" s="50">
        <f t="shared" si="6"/>
        <v>5204043</v>
      </c>
      <c r="Q65" s="5"/>
      <c r="R65" s="6">
        <f>4663337+2411589</f>
        <v>7074926</v>
      </c>
    </row>
    <row r="66" spans="1:17" ht="16.5">
      <c r="A66" s="48" t="s">
        <v>114</v>
      </c>
      <c r="B66" s="26"/>
      <c r="C66" s="27"/>
      <c r="D66" s="54">
        <f t="shared" si="4"/>
        <v>5304005</v>
      </c>
      <c r="E66" s="54">
        <f t="shared" si="2"/>
        <v>5304005</v>
      </c>
      <c r="F66" s="125">
        <f>5239809+64196</f>
        <v>5304005</v>
      </c>
      <c r="G66" s="28">
        <v>0</v>
      </c>
      <c r="H66" s="28"/>
      <c r="I66" s="22">
        <f t="shared" si="3"/>
        <v>0</v>
      </c>
      <c r="J66" s="28"/>
      <c r="K66" s="28"/>
      <c r="L66" s="28"/>
      <c r="M66" s="22">
        <f t="shared" si="5"/>
        <v>0</v>
      </c>
      <c r="N66" s="28"/>
      <c r="O66" s="29"/>
      <c r="P66" s="50">
        <f t="shared" si="6"/>
        <v>5304005</v>
      </c>
      <c r="Q66" s="5"/>
    </row>
    <row r="67" spans="1:17" ht="16.5">
      <c r="A67" s="48" t="s">
        <v>115</v>
      </c>
      <c r="B67" s="26"/>
      <c r="C67" s="27"/>
      <c r="D67" s="28">
        <f t="shared" si="4"/>
        <v>4534100</v>
      </c>
      <c r="E67" s="54">
        <f t="shared" si="2"/>
        <v>4534100</v>
      </c>
      <c r="F67" s="125">
        <f>4371898+162202</f>
        <v>4534100</v>
      </c>
      <c r="G67" s="28">
        <v>0</v>
      </c>
      <c r="H67" s="28"/>
      <c r="I67" s="22">
        <f t="shared" si="3"/>
        <v>0</v>
      </c>
      <c r="J67" s="28"/>
      <c r="K67" s="28"/>
      <c r="L67" s="28"/>
      <c r="M67" s="22">
        <f t="shared" si="5"/>
        <v>0</v>
      </c>
      <c r="N67" s="28"/>
      <c r="O67" s="29"/>
      <c r="P67" s="50">
        <f t="shared" si="6"/>
        <v>4534100</v>
      </c>
      <c r="Q67" s="5"/>
    </row>
    <row r="68" spans="1:17" ht="16.5">
      <c r="A68" s="48" t="s">
        <v>116</v>
      </c>
      <c r="B68" s="26"/>
      <c r="C68" s="27"/>
      <c r="D68" s="28">
        <f t="shared" si="4"/>
        <v>8590907</v>
      </c>
      <c r="E68" s="54">
        <f t="shared" si="2"/>
        <v>8590907</v>
      </c>
      <c r="F68" s="125">
        <f>8263014+327893</f>
        <v>8590907</v>
      </c>
      <c r="G68" s="49">
        <v>0</v>
      </c>
      <c r="H68" s="28"/>
      <c r="I68" s="22">
        <f t="shared" si="3"/>
        <v>0</v>
      </c>
      <c r="J68" s="28"/>
      <c r="K68" s="28"/>
      <c r="L68" s="28"/>
      <c r="M68" s="22">
        <f t="shared" si="5"/>
        <v>0</v>
      </c>
      <c r="N68" s="28"/>
      <c r="O68" s="29"/>
      <c r="P68" s="50">
        <f t="shared" si="6"/>
        <v>8590907</v>
      </c>
      <c r="Q68" s="5"/>
    </row>
    <row r="69" spans="1:17" ht="16.5">
      <c r="A69" s="48" t="s">
        <v>117</v>
      </c>
      <c r="B69" s="26"/>
      <c r="C69" s="27"/>
      <c r="D69" s="28">
        <f t="shared" si="4"/>
        <v>7946568</v>
      </c>
      <c r="E69" s="54">
        <f t="shared" si="2"/>
        <v>7946568</v>
      </c>
      <c r="F69" s="125">
        <f>7684041+262527</f>
        <v>7946568</v>
      </c>
      <c r="G69" s="28">
        <v>0</v>
      </c>
      <c r="H69" s="28"/>
      <c r="I69" s="22">
        <f t="shared" si="3"/>
        <v>0</v>
      </c>
      <c r="J69" s="28"/>
      <c r="K69" s="28"/>
      <c r="L69" s="28"/>
      <c r="M69" s="22">
        <f t="shared" si="5"/>
        <v>0</v>
      </c>
      <c r="N69" s="28"/>
      <c r="O69" s="29"/>
      <c r="P69" s="50">
        <f t="shared" si="6"/>
        <v>7946568</v>
      </c>
      <c r="Q69" s="5"/>
    </row>
    <row r="70" spans="1:21" ht="16.5">
      <c r="A70" s="48" t="s">
        <v>118</v>
      </c>
      <c r="B70" s="26"/>
      <c r="C70" s="27"/>
      <c r="D70" s="28">
        <f t="shared" si="4"/>
        <v>7849084</v>
      </c>
      <c r="E70" s="54">
        <f t="shared" si="2"/>
        <v>7849084</v>
      </c>
      <c r="F70" s="125">
        <f>7424361+424723</f>
        <v>7849084</v>
      </c>
      <c r="G70" s="49">
        <v>0</v>
      </c>
      <c r="H70" s="28"/>
      <c r="I70" s="22">
        <f t="shared" si="3"/>
        <v>0</v>
      </c>
      <c r="J70" s="28"/>
      <c r="K70" s="28"/>
      <c r="L70" s="28"/>
      <c r="M70" s="22">
        <f t="shared" si="5"/>
        <v>0</v>
      </c>
      <c r="N70" s="28"/>
      <c r="O70" s="29"/>
      <c r="P70" s="50">
        <f t="shared" si="6"/>
        <v>7849084</v>
      </c>
      <c r="Q70" s="5"/>
      <c r="T70" s="6">
        <f>398573/1.22</f>
        <v>326699.18032786885</v>
      </c>
      <c r="U70" s="6">
        <f>T70*0.22</f>
        <v>71873.81967213114</v>
      </c>
    </row>
    <row r="71" spans="1:17" ht="16.5">
      <c r="A71" s="48" t="s">
        <v>119</v>
      </c>
      <c r="B71" s="26"/>
      <c r="C71" s="27"/>
      <c r="D71" s="28">
        <f t="shared" si="4"/>
        <v>3139310</v>
      </c>
      <c r="E71" s="54">
        <f t="shared" si="2"/>
        <v>3139310</v>
      </c>
      <c r="F71" s="125">
        <f>3108725+30585</f>
        <v>3139310</v>
      </c>
      <c r="G71" s="49">
        <v>0</v>
      </c>
      <c r="H71" s="28"/>
      <c r="I71" s="22">
        <f t="shared" si="3"/>
        <v>0</v>
      </c>
      <c r="J71" s="28"/>
      <c r="K71" s="28"/>
      <c r="L71" s="28"/>
      <c r="M71" s="22">
        <f t="shared" si="5"/>
        <v>0</v>
      </c>
      <c r="N71" s="28"/>
      <c r="O71" s="29"/>
      <c r="P71" s="50">
        <f t="shared" si="6"/>
        <v>3139310</v>
      </c>
      <c r="Q71" s="5"/>
    </row>
    <row r="72" spans="1:21" ht="16.5">
      <c r="A72" s="48" t="s">
        <v>120</v>
      </c>
      <c r="B72" s="26"/>
      <c r="C72" s="27"/>
      <c r="D72" s="28">
        <f t="shared" si="4"/>
        <v>4273481</v>
      </c>
      <c r="E72" s="54">
        <f t="shared" si="2"/>
        <v>4273481</v>
      </c>
      <c r="F72" s="125">
        <f>4150127+123354</f>
        <v>4273481</v>
      </c>
      <c r="G72" s="49">
        <v>0</v>
      </c>
      <c r="H72" s="28"/>
      <c r="I72" s="22">
        <f t="shared" si="3"/>
        <v>0</v>
      </c>
      <c r="J72" s="28"/>
      <c r="K72" s="28"/>
      <c r="L72" s="28"/>
      <c r="M72" s="22">
        <f t="shared" si="5"/>
        <v>0</v>
      </c>
      <c r="N72" s="28"/>
      <c r="O72" s="29"/>
      <c r="P72" s="50">
        <f t="shared" si="6"/>
        <v>4273481</v>
      </c>
      <c r="Q72" s="5"/>
      <c r="T72" s="6">
        <f>T70-22000</f>
        <v>304699.18032786885</v>
      </c>
      <c r="U72" s="6">
        <f>U70</f>
        <v>71873.81967213114</v>
      </c>
    </row>
    <row r="73" spans="1:17" ht="16.5">
      <c r="A73" s="48" t="s">
        <v>121</v>
      </c>
      <c r="B73" s="26"/>
      <c r="C73" s="27"/>
      <c r="D73" s="28">
        <f t="shared" si="4"/>
        <v>2330797</v>
      </c>
      <c r="E73" s="54">
        <f t="shared" si="2"/>
        <v>2330797</v>
      </c>
      <c r="F73" s="125">
        <f>2311814+18983</f>
        <v>2330797</v>
      </c>
      <c r="G73" s="28">
        <v>0</v>
      </c>
      <c r="H73" s="28"/>
      <c r="I73" s="22">
        <f t="shared" si="3"/>
        <v>0</v>
      </c>
      <c r="J73" s="28"/>
      <c r="K73" s="28"/>
      <c r="L73" s="28"/>
      <c r="M73" s="22">
        <f t="shared" si="5"/>
        <v>0</v>
      </c>
      <c r="N73" s="28"/>
      <c r="O73" s="29"/>
      <c r="P73" s="50">
        <f t="shared" si="6"/>
        <v>2330797</v>
      </c>
      <c r="Q73" s="5"/>
    </row>
    <row r="74" spans="1:20" ht="16.5">
      <c r="A74" s="48" t="s">
        <v>122</v>
      </c>
      <c r="B74" s="26"/>
      <c r="C74" s="27"/>
      <c r="D74" s="28">
        <f t="shared" si="4"/>
        <v>1893136</v>
      </c>
      <c r="E74" s="54">
        <f t="shared" si="2"/>
        <v>1893136</v>
      </c>
      <c r="F74" s="125">
        <f>1883051+10085</f>
        <v>1893136</v>
      </c>
      <c r="G74" s="49">
        <v>0</v>
      </c>
      <c r="H74" s="28"/>
      <c r="I74" s="22">
        <f t="shared" si="3"/>
        <v>0</v>
      </c>
      <c r="J74" s="28"/>
      <c r="K74" s="28"/>
      <c r="L74" s="28"/>
      <c r="M74" s="22">
        <f t="shared" si="5"/>
        <v>0</v>
      </c>
      <c r="N74" s="28"/>
      <c r="O74" s="29"/>
      <c r="P74" s="50">
        <f t="shared" si="6"/>
        <v>1893136</v>
      </c>
      <c r="Q74" s="5"/>
      <c r="T74" s="6">
        <f>376573+22000</f>
        <v>398573</v>
      </c>
    </row>
    <row r="75" spans="1:17" ht="39" customHeight="1">
      <c r="A75" s="25" t="s">
        <v>123</v>
      </c>
      <c r="B75" s="52"/>
      <c r="C75" s="53" t="s">
        <v>124</v>
      </c>
      <c r="D75" s="44">
        <f>E75</f>
        <v>413097.2</v>
      </c>
      <c r="E75" s="44">
        <f aca="true" t="shared" si="7" ref="E75:M75">E76+E77+E78+E79+E80+E81+E82+E83+E84+E85+E86+E87+E88+E89</f>
        <v>413097.2</v>
      </c>
      <c r="F75" s="22">
        <f>F76+F77+F78+F79+F80+F81+F82+F83+F84+F85+F86+F87+F88+F89</f>
        <v>268507.28</v>
      </c>
      <c r="G75" s="22">
        <f t="shared" si="7"/>
        <v>0</v>
      </c>
      <c r="H75" s="28">
        <f t="shared" si="7"/>
        <v>0</v>
      </c>
      <c r="I75" s="22">
        <f t="shared" si="7"/>
        <v>0</v>
      </c>
      <c r="J75" s="28">
        <f t="shared" si="7"/>
        <v>0</v>
      </c>
      <c r="K75" s="28">
        <f t="shared" si="7"/>
        <v>0</v>
      </c>
      <c r="L75" s="28">
        <f t="shared" si="7"/>
        <v>0</v>
      </c>
      <c r="M75" s="22">
        <f t="shared" si="7"/>
        <v>0</v>
      </c>
      <c r="N75" s="22">
        <f>N76+N77+N78+N79+N80+N81+N82+N83+N84+N85+N86+N87+N88+N89</f>
        <v>0</v>
      </c>
      <c r="O75" s="29">
        <f>O76+O77+O78+O79+O80+O81+O82+O83+O84+O85+O86+O87+O88+O89</f>
        <v>0</v>
      </c>
      <c r="P75" s="50">
        <f>D75+I75+O75</f>
        <v>413097.2</v>
      </c>
      <c r="Q75" s="5"/>
    </row>
    <row r="76" spans="1:17" ht="16.5">
      <c r="A76" s="48" t="s">
        <v>109</v>
      </c>
      <c r="B76" s="26"/>
      <c r="C76" s="111"/>
      <c r="D76" s="120">
        <f>80866+177008.42+38941.86+116280.92</f>
        <v>413097.2</v>
      </c>
      <c r="E76" s="120">
        <f>80866+177008.42+38941.86+116280.92</f>
        <v>413097.2</v>
      </c>
      <c r="F76" s="28">
        <f>52557+177008.42+38941.86</f>
        <v>268507.28</v>
      </c>
      <c r="G76" s="49"/>
      <c r="H76" s="28"/>
      <c r="I76" s="22">
        <f>J76+M76</f>
        <v>0</v>
      </c>
      <c r="J76" s="28"/>
      <c r="K76" s="28"/>
      <c r="L76" s="28"/>
      <c r="M76" s="22">
        <f>N76</f>
        <v>0</v>
      </c>
      <c r="N76" s="28"/>
      <c r="O76" s="29"/>
      <c r="P76" s="50">
        <f>D76+I76</f>
        <v>413097.2</v>
      </c>
      <c r="Q76" s="5"/>
    </row>
    <row r="77" spans="1:17" ht="0.75" customHeight="1" thickBot="1">
      <c r="A77" s="48" t="s">
        <v>110</v>
      </c>
      <c r="B77" s="26"/>
      <c r="C77" s="55"/>
      <c r="D77" s="28"/>
      <c r="E77" s="54"/>
      <c r="F77" s="28"/>
      <c r="G77" s="49"/>
      <c r="H77" s="28"/>
      <c r="I77" s="22">
        <f>J77+M77</f>
        <v>0</v>
      </c>
      <c r="J77" s="28"/>
      <c r="K77" s="28"/>
      <c r="L77" s="28"/>
      <c r="M77" s="22">
        <f>N77</f>
        <v>0</v>
      </c>
      <c r="N77" s="28"/>
      <c r="O77" s="29"/>
      <c r="P77" s="50">
        <f>D77+I77</f>
        <v>0</v>
      </c>
      <c r="Q77" s="5"/>
    </row>
    <row r="78" spans="1:17" ht="16.5" hidden="1">
      <c r="A78" s="48" t="s">
        <v>111</v>
      </c>
      <c r="B78" s="26"/>
      <c r="C78" s="55"/>
      <c r="D78" s="28"/>
      <c r="E78" s="54"/>
      <c r="F78" s="28"/>
      <c r="G78" s="49"/>
      <c r="H78" s="28"/>
      <c r="I78" s="22">
        <f>J78+M78</f>
        <v>0</v>
      </c>
      <c r="J78" s="28"/>
      <c r="K78" s="28"/>
      <c r="L78" s="28"/>
      <c r="M78" s="22">
        <v>0</v>
      </c>
      <c r="N78" s="28">
        <v>0</v>
      </c>
      <c r="O78" s="29"/>
      <c r="P78" s="50">
        <f>D78+I78+O78</f>
        <v>0</v>
      </c>
      <c r="Q78" s="5"/>
    </row>
    <row r="79" spans="1:17" ht="16.5" hidden="1">
      <c r="A79" s="48" t="s">
        <v>112</v>
      </c>
      <c r="B79" s="26"/>
      <c r="C79" s="55"/>
      <c r="D79" s="28"/>
      <c r="E79" s="54"/>
      <c r="F79" s="28"/>
      <c r="G79" s="49"/>
      <c r="H79" s="28"/>
      <c r="I79" s="22">
        <f aca="true" t="shared" si="8" ref="I79:I89">J79+M79</f>
        <v>0</v>
      </c>
      <c r="J79" s="28"/>
      <c r="K79" s="28"/>
      <c r="L79" s="28"/>
      <c r="M79" s="22">
        <f>N79</f>
        <v>0</v>
      </c>
      <c r="N79" s="28"/>
      <c r="O79" s="29"/>
      <c r="P79" s="24">
        <f>D79+I79</f>
        <v>0</v>
      </c>
      <c r="Q79" s="5"/>
    </row>
    <row r="80" spans="1:17" ht="14.25" customHeight="1" hidden="1">
      <c r="A80" s="48" t="s">
        <v>113</v>
      </c>
      <c r="B80" s="26"/>
      <c r="C80" s="55"/>
      <c r="D80" s="28"/>
      <c r="E80" s="28"/>
      <c r="F80" s="28"/>
      <c r="G80" s="28"/>
      <c r="H80" s="28"/>
      <c r="I80" s="22">
        <f t="shared" si="8"/>
        <v>0</v>
      </c>
      <c r="J80" s="28"/>
      <c r="K80" s="28"/>
      <c r="L80" s="28"/>
      <c r="M80" s="22">
        <f>N80</f>
        <v>0</v>
      </c>
      <c r="N80" s="28"/>
      <c r="O80" s="29"/>
      <c r="P80" s="24">
        <f aca="true" t="shared" si="9" ref="P80:P89">D80+I80</f>
        <v>0</v>
      </c>
      <c r="Q80" s="5"/>
    </row>
    <row r="81" spans="1:17" ht="16.5" hidden="1">
      <c r="A81" s="48" t="s">
        <v>114</v>
      </c>
      <c r="B81" s="26"/>
      <c r="C81" s="55"/>
      <c r="D81" s="28">
        <v>0</v>
      </c>
      <c r="E81" s="28">
        <v>0</v>
      </c>
      <c r="F81" s="28"/>
      <c r="G81" s="28"/>
      <c r="H81" s="28"/>
      <c r="I81" s="22">
        <f t="shared" si="8"/>
        <v>0</v>
      </c>
      <c r="J81" s="28"/>
      <c r="K81" s="28"/>
      <c r="L81" s="28"/>
      <c r="M81" s="22">
        <v>0</v>
      </c>
      <c r="N81" s="28">
        <v>0</v>
      </c>
      <c r="O81" s="29"/>
      <c r="P81" s="24">
        <f t="shared" si="9"/>
        <v>0</v>
      </c>
      <c r="Q81" s="5"/>
    </row>
    <row r="82" spans="1:17" ht="16.5" hidden="1">
      <c r="A82" s="48" t="s">
        <v>115</v>
      </c>
      <c r="B82" s="26"/>
      <c r="C82" s="55"/>
      <c r="D82" s="28"/>
      <c r="E82" s="28"/>
      <c r="F82" s="28"/>
      <c r="G82" s="28"/>
      <c r="H82" s="28"/>
      <c r="I82" s="22">
        <f t="shared" si="8"/>
        <v>0</v>
      </c>
      <c r="J82" s="28"/>
      <c r="K82" s="28"/>
      <c r="L82" s="28"/>
      <c r="M82" s="22">
        <f aca="true" t="shared" si="10" ref="M82:M89">N82</f>
        <v>0</v>
      </c>
      <c r="N82" s="28"/>
      <c r="O82" s="29"/>
      <c r="P82" s="24">
        <f t="shared" si="9"/>
        <v>0</v>
      </c>
      <c r="Q82" s="5"/>
    </row>
    <row r="83" spans="1:17" ht="16.5" hidden="1">
      <c r="A83" s="48" t="s">
        <v>116</v>
      </c>
      <c r="B83" s="26"/>
      <c r="C83" s="55"/>
      <c r="D83" s="28"/>
      <c r="E83" s="28"/>
      <c r="F83" s="28"/>
      <c r="G83" s="49"/>
      <c r="H83" s="28"/>
      <c r="I83" s="22">
        <f t="shared" si="8"/>
        <v>0</v>
      </c>
      <c r="J83" s="28"/>
      <c r="K83" s="28"/>
      <c r="L83" s="28"/>
      <c r="M83" s="22">
        <f t="shared" si="10"/>
        <v>0</v>
      </c>
      <c r="N83" s="28"/>
      <c r="O83" s="29"/>
      <c r="P83" s="24">
        <f t="shared" si="9"/>
        <v>0</v>
      </c>
      <c r="Q83" s="5"/>
    </row>
    <row r="84" spans="1:17" ht="16.5" hidden="1">
      <c r="A84" s="48" t="s">
        <v>117</v>
      </c>
      <c r="B84" s="26"/>
      <c r="C84" s="55"/>
      <c r="D84" s="28"/>
      <c r="E84" s="28"/>
      <c r="F84" s="28"/>
      <c r="G84" s="28"/>
      <c r="H84" s="28"/>
      <c r="I84" s="22">
        <f t="shared" si="8"/>
        <v>0</v>
      </c>
      <c r="J84" s="28"/>
      <c r="K84" s="28"/>
      <c r="L84" s="28"/>
      <c r="M84" s="22">
        <f t="shared" si="10"/>
        <v>0</v>
      </c>
      <c r="N84" s="28"/>
      <c r="O84" s="29"/>
      <c r="P84" s="24">
        <f t="shared" si="9"/>
        <v>0</v>
      </c>
      <c r="Q84" s="5"/>
    </row>
    <row r="85" spans="1:17" ht="16.5" hidden="1">
      <c r="A85" s="48" t="s">
        <v>118</v>
      </c>
      <c r="B85" s="26"/>
      <c r="C85" s="55"/>
      <c r="D85" s="28"/>
      <c r="E85" s="28"/>
      <c r="F85" s="28"/>
      <c r="G85" s="49"/>
      <c r="H85" s="28"/>
      <c r="I85" s="22">
        <f t="shared" si="8"/>
        <v>0</v>
      </c>
      <c r="J85" s="28"/>
      <c r="K85" s="28"/>
      <c r="L85" s="28"/>
      <c r="M85" s="22">
        <f t="shared" si="10"/>
        <v>0</v>
      </c>
      <c r="N85" s="28"/>
      <c r="O85" s="29"/>
      <c r="P85" s="24">
        <f t="shared" si="9"/>
        <v>0</v>
      </c>
      <c r="Q85" s="5"/>
    </row>
    <row r="86" spans="1:17" ht="16.5" hidden="1">
      <c r="A86" s="48" t="s">
        <v>119</v>
      </c>
      <c r="B86" s="26"/>
      <c r="C86" s="55"/>
      <c r="D86" s="28"/>
      <c r="E86" s="28"/>
      <c r="F86" s="28"/>
      <c r="G86" s="49"/>
      <c r="H86" s="28"/>
      <c r="I86" s="22">
        <f t="shared" si="8"/>
        <v>0</v>
      </c>
      <c r="J86" s="28"/>
      <c r="K86" s="28"/>
      <c r="L86" s="28"/>
      <c r="M86" s="22">
        <f t="shared" si="10"/>
        <v>0</v>
      </c>
      <c r="N86" s="28"/>
      <c r="O86" s="29"/>
      <c r="P86" s="24">
        <f t="shared" si="9"/>
        <v>0</v>
      </c>
      <c r="Q86" s="5"/>
    </row>
    <row r="87" spans="1:17" ht="16.5" hidden="1">
      <c r="A87" s="48" t="s">
        <v>120</v>
      </c>
      <c r="B87" s="26"/>
      <c r="C87" s="55"/>
      <c r="D87" s="28"/>
      <c r="E87" s="28"/>
      <c r="F87" s="28"/>
      <c r="G87" s="49"/>
      <c r="H87" s="28"/>
      <c r="I87" s="22">
        <f t="shared" si="8"/>
        <v>0</v>
      </c>
      <c r="J87" s="28"/>
      <c r="K87" s="28"/>
      <c r="L87" s="28"/>
      <c r="M87" s="22">
        <f t="shared" si="10"/>
        <v>0</v>
      </c>
      <c r="N87" s="28"/>
      <c r="O87" s="29"/>
      <c r="P87" s="24">
        <f t="shared" si="9"/>
        <v>0</v>
      </c>
      <c r="Q87" s="5"/>
    </row>
    <row r="88" spans="1:17" ht="16.5" hidden="1">
      <c r="A88" s="48" t="s">
        <v>121</v>
      </c>
      <c r="B88" s="26"/>
      <c r="C88" s="55"/>
      <c r="D88" s="28"/>
      <c r="E88" s="28"/>
      <c r="F88" s="28"/>
      <c r="G88" s="28"/>
      <c r="H88" s="28"/>
      <c r="I88" s="22">
        <f t="shared" si="8"/>
        <v>0</v>
      </c>
      <c r="J88" s="28"/>
      <c r="K88" s="28"/>
      <c r="L88" s="28"/>
      <c r="M88" s="22">
        <f t="shared" si="10"/>
        <v>0</v>
      </c>
      <c r="N88" s="28"/>
      <c r="O88" s="29"/>
      <c r="P88" s="24">
        <f t="shared" si="9"/>
        <v>0</v>
      </c>
      <c r="Q88" s="5"/>
    </row>
    <row r="89" spans="1:17" ht="15.75" customHeight="1" hidden="1">
      <c r="A89" s="48" t="s">
        <v>122</v>
      </c>
      <c r="B89" s="26"/>
      <c r="C89" s="55"/>
      <c r="D89" s="28"/>
      <c r="E89" s="28"/>
      <c r="F89" s="28"/>
      <c r="G89" s="49"/>
      <c r="H89" s="28"/>
      <c r="I89" s="22">
        <f t="shared" si="8"/>
        <v>0</v>
      </c>
      <c r="J89" s="28"/>
      <c r="K89" s="28"/>
      <c r="L89" s="28"/>
      <c r="M89" s="22">
        <f t="shared" si="10"/>
        <v>0</v>
      </c>
      <c r="N89" s="28"/>
      <c r="O89" s="29"/>
      <c r="P89" s="95">
        <f t="shared" si="9"/>
        <v>0</v>
      </c>
      <c r="Q89" s="5"/>
    </row>
    <row r="90" spans="1:17" ht="39.75" customHeight="1" thickBot="1">
      <c r="A90" s="56" t="s">
        <v>125</v>
      </c>
      <c r="B90" s="57" t="s">
        <v>126</v>
      </c>
      <c r="C90" s="58" t="s">
        <v>127</v>
      </c>
      <c r="D90" s="22">
        <f>E90</f>
        <v>1194160</v>
      </c>
      <c r="E90" s="22">
        <f aca="true" t="shared" si="11" ref="E90:N90">E91+E92+E93+E94+E95+E96+E97+E98+E99+E100+E101+E102+E103+E104</f>
        <v>1194160</v>
      </c>
      <c r="F90" s="22">
        <f t="shared" si="11"/>
        <v>0</v>
      </c>
      <c r="G90" s="22">
        <f t="shared" si="11"/>
        <v>0</v>
      </c>
      <c r="H90" s="28">
        <f t="shared" si="11"/>
        <v>0</v>
      </c>
      <c r="I90" s="22">
        <f t="shared" si="11"/>
        <v>169130</v>
      </c>
      <c r="J90" s="22">
        <f t="shared" si="11"/>
        <v>0</v>
      </c>
      <c r="K90" s="22">
        <f t="shared" si="11"/>
        <v>0</v>
      </c>
      <c r="L90" s="22">
        <f t="shared" si="11"/>
        <v>0</v>
      </c>
      <c r="M90" s="22">
        <f t="shared" si="11"/>
        <v>169130</v>
      </c>
      <c r="N90" s="22">
        <f t="shared" si="11"/>
        <v>169130</v>
      </c>
      <c r="O90" s="59"/>
      <c r="P90" s="97">
        <f>D90+I90+O90</f>
        <v>1363290</v>
      </c>
      <c r="Q90" s="94"/>
    </row>
    <row r="91" spans="1:17" ht="16.5">
      <c r="A91" s="48" t="s">
        <v>109</v>
      </c>
      <c r="B91" s="61"/>
      <c r="C91" s="62"/>
      <c r="D91" s="28">
        <f>E91</f>
        <v>118557</v>
      </c>
      <c r="E91" s="64">
        <v>118557</v>
      </c>
      <c r="F91" s="64"/>
      <c r="G91" s="63"/>
      <c r="H91" s="64"/>
      <c r="I91" s="28">
        <f>J91+M91</f>
        <v>13010</v>
      </c>
      <c r="J91" s="64"/>
      <c r="K91" s="64"/>
      <c r="L91" s="64"/>
      <c r="M91" s="28">
        <f>N91</f>
        <v>13010</v>
      </c>
      <c r="N91" s="64">
        <v>13010</v>
      </c>
      <c r="O91" s="65"/>
      <c r="P91" s="96">
        <f>D91+I91</f>
        <v>131567</v>
      </c>
      <c r="Q91" s="5"/>
    </row>
    <row r="92" spans="1:17" ht="16.5">
      <c r="A92" s="48" t="s">
        <v>110</v>
      </c>
      <c r="B92" s="61"/>
      <c r="C92" s="62"/>
      <c r="D92" s="28">
        <f aca="true" t="shared" si="12" ref="D92:D104">E92</f>
        <v>128865</v>
      </c>
      <c r="E92" s="64">
        <v>128865</v>
      </c>
      <c r="F92" s="64"/>
      <c r="G92" s="63"/>
      <c r="H92" s="64"/>
      <c r="I92" s="28">
        <f aca="true" t="shared" si="13" ref="I92:I104">J92+M92</f>
        <v>13010</v>
      </c>
      <c r="J92" s="64"/>
      <c r="K92" s="64"/>
      <c r="L92" s="64"/>
      <c r="M92" s="28">
        <f aca="true" t="shared" si="14" ref="M92:M104">N92</f>
        <v>13010</v>
      </c>
      <c r="N92" s="64">
        <v>13010</v>
      </c>
      <c r="O92" s="65"/>
      <c r="P92" s="50">
        <f aca="true" t="shared" si="15" ref="P92:P104">D92+I92</f>
        <v>141875</v>
      </c>
      <c r="Q92" s="5"/>
    </row>
    <row r="93" spans="1:17" ht="16.5">
      <c r="A93" s="48" t="s">
        <v>111</v>
      </c>
      <c r="B93" s="61"/>
      <c r="C93" s="62"/>
      <c r="D93" s="28">
        <f t="shared" si="12"/>
        <v>128865</v>
      </c>
      <c r="E93" s="64">
        <v>128865</v>
      </c>
      <c r="F93" s="64"/>
      <c r="G93" s="63"/>
      <c r="H93" s="64"/>
      <c r="I93" s="28">
        <f t="shared" si="13"/>
        <v>26020</v>
      </c>
      <c r="J93" s="64"/>
      <c r="K93" s="64"/>
      <c r="L93" s="64"/>
      <c r="M93" s="28">
        <f t="shared" si="14"/>
        <v>26020</v>
      </c>
      <c r="N93" s="64">
        <f>13010+13010</f>
        <v>26020</v>
      </c>
      <c r="O93" s="65"/>
      <c r="P93" s="50">
        <f t="shared" si="15"/>
        <v>154885</v>
      </c>
      <c r="Q93" s="5"/>
    </row>
    <row r="94" spans="1:17" ht="16.5">
      <c r="A94" s="48" t="s">
        <v>112</v>
      </c>
      <c r="B94" s="61"/>
      <c r="C94" s="62"/>
      <c r="D94" s="28">
        <f t="shared" si="12"/>
        <v>0</v>
      </c>
      <c r="E94" s="64">
        <v>0</v>
      </c>
      <c r="F94" s="64"/>
      <c r="G94" s="63"/>
      <c r="H94" s="64"/>
      <c r="I94" s="28">
        <f t="shared" si="13"/>
        <v>0</v>
      </c>
      <c r="J94" s="64"/>
      <c r="K94" s="64"/>
      <c r="L94" s="64"/>
      <c r="M94" s="28"/>
      <c r="N94" s="64"/>
      <c r="O94" s="65"/>
      <c r="P94" s="50">
        <f t="shared" si="15"/>
        <v>0</v>
      </c>
      <c r="Q94" s="5"/>
    </row>
    <row r="95" spans="1:17" ht="16.5">
      <c r="A95" s="48" t="s">
        <v>113</v>
      </c>
      <c r="B95" s="61"/>
      <c r="C95" s="62"/>
      <c r="D95" s="28">
        <f t="shared" si="12"/>
        <v>84192</v>
      </c>
      <c r="E95" s="64">
        <v>84192</v>
      </c>
      <c r="F95" s="64"/>
      <c r="G95" s="63"/>
      <c r="H95" s="64"/>
      <c r="I95" s="28">
        <f t="shared" si="13"/>
        <v>13010</v>
      </c>
      <c r="J95" s="64"/>
      <c r="K95" s="64"/>
      <c r="L95" s="64"/>
      <c r="M95" s="28">
        <f t="shared" si="14"/>
        <v>13010</v>
      </c>
      <c r="N95" s="64">
        <v>13010</v>
      </c>
      <c r="O95" s="65"/>
      <c r="P95" s="50">
        <f t="shared" si="15"/>
        <v>97202</v>
      </c>
      <c r="Q95" s="5"/>
    </row>
    <row r="96" spans="1:17" ht="16.5">
      <c r="A96" s="48" t="s">
        <v>114</v>
      </c>
      <c r="B96" s="61"/>
      <c r="C96" s="62"/>
      <c r="D96" s="28">
        <f t="shared" si="12"/>
        <v>73884</v>
      </c>
      <c r="E96" s="64">
        <v>73884</v>
      </c>
      <c r="F96" s="64"/>
      <c r="G96" s="63"/>
      <c r="H96" s="64"/>
      <c r="I96" s="28">
        <f t="shared" si="13"/>
        <v>13010</v>
      </c>
      <c r="J96" s="64"/>
      <c r="K96" s="64"/>
      <c r="L96" s="64"/>
      <c r="M96" s="28">
        <f t="shared" si="14"/>
        <v>13010</v>
      </c>
      <c r="N96" s="64">
        <v>13010</v>
      </c>
      <c r="O96" s="65"/>
      <c r="P96" s="50">
        <f t="shared" si="15"/>
        <v>86894</v>
      </c>
      <c r="Q96" s="5"/>
    </row>
    <row r="97" spans="1:17" ht="16.5">
      <c r="A97" s="48" t="s">
        <v>115</v>
      </c>
      <c r="B97" s="61"/>
      <c r="C97" s="62"/>
      <c r="D97" s="28">
        <f t="shared" si="12"/>
        <v>85910</v>
      </c>
      <c r="E97" s="64">
        <v>85910</v>
      </c>
      <c r="F97" s="64"/>
      <c r="G97" s="63"/>
      <c r="H97" s="64"/>
      <c r="I97" s="28">
        <f t="shared" si="13"/>
        <v>13010</v>
      </c>
      <c r="J97" s="64"/>
      <c r="K97" s="64"/>
      <c r="L97" s="64"/>
      <c r="M97" s="28">
        <f t="shared" si="14"/>
        <v>13010</v>
      </c>
      <c r="N97" s="64">
        <v>13010</v>
      </c>
      <c r="O97" s="65"/>
      <c r="P97" s="50">
        <f t="shared" si="15"/>
        <v>98920</v>
      </c>
      <c r="Q97" s="5"/>
    </row>
    <row r="98" spans="1:17" ht="16.5">
      <c r="A98" s="48" t="s">
        <v>116</v>
      </c>
      <c r="B98" s="61"/>
      <c r="C98" s="62"/>
      <c r="D98" s="28">
        <f t="shared" si="12"/>
        <v>128865</v>
      </c>
      <c r="E98" s="64">
        <v>128865</v>
      </c>
      <c r="F98" s="64"/>
      <c r="G98" s="63"/>
      <c r="H98" s="64"/>
      <c r="I98" s="28">
        <f t="shared" si="13"/>
        <v>13010</v>
      </c>
      <c r="J98" s="64"/>
      <c r="K98" s="64"/>
      <c r="L98" s="64"/>
      <c r="M98" s="28">
        <f t="shared" si="14"/>
        <v>13010</v>
      </c>
      <c r="N98" s="64">
        <v>13010</v>
      </c>
      <c r="O98" s="65"/>
      <c r="P98" s="50">
        <f t="shared" si="15"/>
        <v>141875</v>
      </c>
      <c r="Q98" s="5"/>
    </row>
    <row r="99" spans="1:17" ht="16.5">
      <c r="A99" s="48" t="s">
        <v>117</v>
      </c>
      <c r="B99" s="61"/>
      <c r="C99" s="62"/>
      <c r="D99" s="28">
        <f t="shared" si="12"/>
        <v>161512</v>
      </c>
      <c r="E99" s="64">
        <v>161512</v>
      </c>
      <c r="F99" s="64"/>
      <c r="G99" s="63"/>
      <c r="H99" s="64"/>
      <c r="I99" s="28">
        <f t="shared" si="13"/>
        <v>13010</v>
      </c>
      <c r="J99" s="64"/>
      <c r="K99" s="64"/>
      <c r="L99" s="64"/>
      <c r="M99" s="28">
        <f t="shared" si="14"/>
        <v>13010</v>
      </c>
      <c r="N99" s="64">
        <v>13010</v>
      </c>
      <c r="O99" s="65"/>
      <c r="P99" s="50">
        <f t="shared" si="15"/>
        <v>174522</v>
      </c>
      <c r="Q99" s="5"/>
    </row>
    <row r="100" spans="1:17" ht="16.5">
      <c r="A100" s="48" t="s">
        <v>118</v>
      </c>
      <c r="B100" s="61"/>
      <c r="C100" s="62"/>
      <c r="D100" s="28">
        <f t="shared" si="12"/>
        <v>149486</v>
      </c>
      <c r="E100" s="64">
        <v>149486</v>
      </c>
      <c r="F100" s="64"/>
      <c r="G100" s="63"/>
      <c r="H100" s="64"/>
      <c r="I100" s="28">
        <f t="shared" si="13"/>
        <v>13010</v>
      </c>
      <c r="J100" s="64"/>
      <c r="K100" s="64"/>
      <c r="L100" s="64"/>
      <c r="M100" s="28">
        <f t="shared" si="14"/>
        <v>13010</v>
      </c>
      <c r="N100" s="64">
        <v>13010</v>
      </c>
      <c r="O100" s="65"/>
      <c r="P100" s="50">
        <f t="shared" si="15"/>
        <v>162496</v>
      </c>
      <c r="Q100" s="5"/>
    </row>
    <row r="101" spans="1:17" ht="16.5">
      <c r="A101" s="48" t="s">
        <v>119</v>
      </c>
      <c r="B101" s="61"/>
      <c r="C101" s="62"/>
      <c r="D101" s="28">
        <f t="shared" si="12"/>
        <v>0</v>
      </c>
      <c r="E101" s="64">
        <v>0</v>
      </c>
      <c r="F101" s="64"/>
      <c r="G101" s="63"/>
      <c r="H101" s="64"/>
      <c r="I101" s="28">
        <f t="shared" si="13"/>
        <v>0</v>
      </c>
      <c r="J101" s="64"/>
      <c r="K101" s="64"/>
      <c r="L101" s="64"/>
      <c r="M101" s="28">
        <f t="shared" si="14"/>
        <v>0</v>
      </c>
      <c r="N101" s="64">
        <v>0</v>
      </c>
      <c r="O101" s="65"/>
      <c r="P101" s="50">
        <f t="shared" si="15"/>
        <v>0</v>
      </c>
      <c r="Q101" s="5"/>
    </row>
    <row r="102" spans="1:17" ht="16.5">
      <c r="A102" s="48" t="s">
        <v>120</v>
      </c>
      <c r="B102" s="61"/>
      <c r="C102" s="62"/>
      <c r="D102" s="28">
        <f t="shared" si="12"/>
        <v>72166</v>
      </c>
      <c r="E102" s="64">
        <v>72166</v>
      </c>
      <c r="F102" s="64"/>
      <c r="G102" s="63"/>
      <c r="H102" s="64"/>
      <c r="I102" s="28">
        <f t="shared" si="13"/>
        <v>13010</v>
      </c>
      <c r="J102" s="64"/>
      <c r="K102" s="64"/>
      <c r="L102" s="64"/>
      <c r="M102" s="28">
        <f t="shared" si="14"/>
        <v>13010</v>
      </c>
      <c r="N102" s="64">
        <v>13010</v>
      </c>
      <c r="O102" s="65"/>
      <c r="P102" s="50">
        <f t="shared" si="15"/>
        <v>85176</v>
      </c>
      <c r="Q102" s="5"/>
    </row>
    <row r="103" spans="1:17" ht="16.5">
      <c r="A103" s="48" t="s">
        <v>121</v>
      </c>
      <c r="B103" s="61"/>
      <c r="C103" s="62"/>
      <c r="D103" s="28">
        <f t="shared" si="12"/>
        <v>32647</v>
      </c>
      <c r="E103" s="64">
        <v>32647</v>
      </c>
      <c r="F103" s="64"/>
      <c r="G103" s="63"/>
      <c r="H103" s="64"/>
      <c r="I103" s="28">
        <f t="shared" si="13"/>
        <v>13010</v>
      </c>
      <c r="J103" s="64"/>
      <c r="K103" s="64"/>
      <c r="L103" s="64"/>
      <c r="M103" s="28">
        <f t="shared" si="14"/>
        <v>13010</v>
      </c>
      <c r="N103" s="64">
        <v>13010</v>
      </c>
      <c r="O103" s="65"/>
      <c r="P103" s="50">
        <f t="shared" si="15"/>
        <v>45657</v>
      </c>
      <c r="Q103" s="5"/>
    </row>
    <row r="104" spans="1:17" ht="16.5">
      <c r="A104" s="48" t="s">
        <v>122</v>
      </c>
      <c r="B104" s="61"/>
      <c r="C104" s="62"/>
      <c r="D104" s="28">
        <f t="shared" si="12"/>
        <v>29211</v>
      </c>
      <c r="E104" s="64">
        <v>29211</v>
      </c>
      <c r="F104" s="64"/>
      <c r="G104" s="63"/>
      <c r="H104" s="64"/>
      <c r="I104" s="28">
        <f t="shared" si="13"/>
        <v>13010</v>
      </c>
      <c r="J104" s="64"/>
      <c r="K104" s="64"/>
      <c r="L104" s="64"/>
      <c r="M104" s="28">
        <f t="shared" si="14"/>
        <v>13010</v>
      </c>
      <c r="N104" s="64">
        <v>13010</v>
      </c>
      <c r="O104" s="65"/>
      <c r="P104" s="50">
        <f t="shared" si="15"/>
        <v>42221</v>
      </c>
      <c r="Q104" s="5"/>
    </row>
    <row r="105" spans="1:17" ht="47.25" customHeight="1">
      <c r="A105" s="56" t="s">
        <v>128</v>
      </c>
      <c r="B105" s="66" t="s">
        <v>129</v>
      </c>
      <c r="C105" s="60" t="s">
        <v>130</v>
      </c>
      <c r="D105" s="22">
        <f>E105</f>
        <v>0</v>
      </c>
      <c r="E105" s="22">
        <f aca="true" t="shared" si="16" ref="E105:N105">E106+E107+E108+E109+E110+E111+E112+E113+E114+E115+E116+E117+E118+E119</f>
        <v>0</v>
      </c>
      <c r="F105" s="22">
        <f t="shared" si="16"/>
        <v>0</v>
      </c>
      <c r="G105" s="22">
        <f t="shared" si="16"/>
        <v>0</v>
      </c>
      <c r="H105" s="28">
        <f t="shared" si="16"/>
        <v>0</v>
      </c>
      <c r="I105" s="22">
        <f t="shared" si="16"/>
        <v>214462</v>
      </c>
      <c r="J105" s="22">
        <f t="shared" si="16"/>
        <v>0</v>
      </c>
      <c r="K105" s="22">
        <f t="shared" si="16"/>
        <v>0</v>
      </c>
      <c r="L105" s="22">
        <f t="shared" si="16"/>
        <v>0</v>
      </c>
      <c r="M105" s="22">
        <f t="shared" si="16"/>
        <v>214462</v>
      </c>
      <c r="N105" s="22">
        <f t="shared" si="16"/>
        <v>214462</v>
      </c>
      <c r="O105" s="59"/>
      <c r="P105" s="45">
        <f>D105+I105+O105</f>
        <v>214462</v>
      </c>
      <c r="Q105" s="5"/>
    </row>
    <row r="106" spans="1:17" ht="16.5" customHeight="1">
      <c r="A106" s="48" t="s">
        <v>109</v>
      </c>
      <c r="B106" s="61"/>
      <c r="C106" s="62"/>
      <c r="D106" s="64"/>
      <c r="E106" s="64"/>
      <c r="F106" s="64"/>
      <c r="G106" s="63"/>
      <c r="H106" s="64"/>
      <c r="I106" s="28">
        <f>J106+M106</f>
        <v>17872</v>
      </c>
      <c r="J106" s="64"/>
      <c r="K106" s="64"/>
      <c r="L106" s="64"/>
      <c r="M106" s="28">
        <f>N106</f>
        <v>17872</v>
      </c>
      <c r="N106" s="64">
        <v>17872</v>
      </c>
      <c r="O106" s="65"/>
      <c r="P106" s="50">
        <f>D106+I106</f>
        <v>17872</v>
      </c>
      <c r="Q106" s="5"/>
    </row>
    <row r="107" spans="1:17" ht="16.5" customHeight="1">
      <c r="A107" s="48" t="s">
        <v>110</v>
      </c>
      <c r="B107" s="61"/>
      <c r="C107" s="62"/>
      <c r="D107" s="64"/>
      <c r="E107" s="64"/>
      <c r="F107" s="64"/>
      <c r="G107" s="63"/>
      <c r="H107" s="64"/>
      <c r="I107" s="28">
        <f aca="true" t="shared" si="17" ref="I107:I119">J107+M107</f>
        <v>17872</v>
      </c>
      <c r="J107" s="64"/>
      <c r="K107" s="64"/>
      <c r="L107" s="64"/>
      <c r="M107" s="28">
        <f aca="true" t="shared" si="18" ref="M107:M119">N107</f>
        <v>17872</v>
      </c>
      <c r="N107" s="64">
        <v>17872</v>
      </c>
      <c r="O107" s="65"/>
      <c r="P107" s="50">
        <f aca="true" t="shared" si="19" ref="P107:P119">D107+I107</f>
        <v>17872</v>
      </c>
      <c r="Q107" s="5"/>
    </row>
    <row r="108" spans="1:17" ht="16.5" customHeight="1">
      <c r="A108" s="48" t="s">
        <v>111</v>
      </c>
      <c r="B108" s="61"/>
      <c r="C108" s="62"/>
      <c r="D108" s="64"/>
      <c r="E108" s="64"/>
      <c r="F108" s="64"/>
      <c r="G108" s="63"/>
      <c r="H108" s="64"/>
      <c r="I108" s="28">
        <f t="shared" si="17"/>
        <v>17872</v>
      </c>
      <c r="J108" s="64"/>
      <c r="K108" s="64"/>
      <c r="L108" s="64"/>
      <c r="M108" s="28">
        <f t="shared" si="18"/>
        <v>17872</v>
      </c>
      <c r="N108" s="64">
        <v>17872</v>
      </c>
      <c r="O108" s="65"/>
      <c r="P108" s="50">
        <f t="shared" si="19"/>
        <v>17872</v>
      </c>
      <c r="Q108" s="5"/>
    </row>
    <row r="109" spans="1:17" ht="16.5" customHeight="1">
      <c r="A109" s="48" t="s">
        <v>112</v>
      </c>
      <c r="B109" s="61"/>
      <c r="C109" s="62"/>
      <c r="D109" s="64"/>
      <c r="E109" s="64"/>
      <c r="F109" s="64"/>
      <c r="G109" s="63"/>
      <c r="H109" s="64"/>
      <c r="I109" s="28">
        <f t="shared" si="17"/>
        <v>0</v>
      </c>
      <c r="J109" s="64"/>
      <c r="K109" s="64"/>
      <c r="L109" s="64"/>
      <c r="M109" s="28">
        <f t="shared" si="18"/>
        <v>0</v>
      </c>
      <c r="N109" s="64">
        <v>0</v>
      </c>
      <c r="O109" s="65"/>
      <c r="P109" s="50">
        <f t="shared" si="19"/>
        <v>0</v>
      </c>
      <c r="Q109" s="5"/>
    </row>
    <row r="110" spans="1:17" ht="16.5" customHeight="1">
      <c r="A110" s="48" t="s">
        <v>113</v>
      </c>
      <c r="B110" s="61"/>
      <c r="C110" s="62"/>
      <c r="D110" s="64"/>
      <c r="E110" s="64"/>
      <c r="F110" s="64"/>
      <c r="G110" s="63"/>
      <c r="H110" s="64"/>
      <c r="I110" s="28">
        <f t="shared" si="17"/>
        <v>17872</v>
      </c>
      <c r="J110" s="64"/>
      <c r="K110" s="64"/>
      <c r="L110" s="64"/>
      <c r="M110" s="28">
        <f t="shared" si="18"/>
        <v>17872</v>
      </c>
      <c r="N110" s="64">
        <v>17872</v>
      </c>
      <c r="O110" s="65"/>
      <c r="P110" s="50">
        <f t="shared" si="19"/>
        <v>17872</v>
      </c>
      <c r="Q110" s="5"/>
    </row>
    <row r="111" spans="1:17" ht="16.5" customHeight="1">
      <c r="A111" s="48" t="s">
        <v>114</v>
      </c>
      <c r="B111" s="61"/>
      <c r="C111" s="62"/>
      <c r="D111" s="64"/>
      <c r="E111" s="64"/>
      <c r="F111" s="64"/>
      <c r="G111" s="63"/>
      <c r="H111" s="64"/>
      <c r="I111" s="28">
        <f t="shared" si="17"/>
        <v>17872</v>
      </c>
      <c r="J111" s="64"/>
      <c r="K111" s="64"/>
      <c r="L111" s="64"/>
      <c r="M111" s="28">
        <f t="shared" si="18"/>
        <v>17872</v>
      </c>
      <c r="N111" s="64">
        <v>17872</v>
      </c>
      <c r="O111" s="65"/>
      <c r="P111" s="50">
        <f t="shared" si="19"/>
        <v>17872</v>
      </c>
      <c r="Q111" s="5"/>
    </row>
    <row r="112" spans="1:17" ht="16.5" customHeight="1">
      <c r="A112" s="48" t="s">
        <v>115</v>
      </c>
      <c r="B112" s="61"/>
      <c r="C112" s="62"/>
      <c r="D112" s="64"/>
      <c r="E112" s="64"/>
      <c r="F112" s="64"/>
      <c r="G112" s="63"/>
      <c r="H112" s="64"/>
      <c r="I112" s="28">
        <f t="shared" si="17"/>
        <v>17872</v>
      </c>
      <c r="J112" s="64"/>
      <c r="K112" s="64"/>
      <c r="L112" s="64"/>
      <c r="M112" s="28">
        <f t="shared" si="18"/>
        <v>17872</v>
      </c>
      <c r="N112" s="64">
        <v>17872</v>
      </c>
      <c r="O112" s="65"/>
      <c r="P112" s="50">
        <f t="shared" si="19"/>
        <v>17872</v>
      </c>
      <c r="Q112" s="5"/>
    </row>
    <row r="113" spans="1:17" ht="16.5" customHeight="1">
      <c r="A113" s="48" t="s">
        <v>116</v>
      </c>
      <c r="B113" s="61"/>
      <c r="C113" s="62"/>
      <c r="D113" s="64"/>
      <c r="E113" s="64"/>
      <c r="F113" s="64"/>
      <c r="G113" s="63"/>
      <c r="H113" s="64"/>
      <c r="I113" s="28">
        <f t="shared" si="17"/>
        <v>17872</v>
      </c>
      <c r="J113" s="64"/>
      <c r="K113" s="64"/>
      <c r="L113" s="64"/>
      <c r="M113" s="28">
        <f t="shared" si="18"/>
        <v>17872</v>
      </c>
      <c r="N113" s="64">
        <v>17872</v>
      </c>
      <c r="O113" s="65"/>
      <c r="P113" s="50">
        <f t="shared" si="19"/>
        <v>17872</v>
      </c>
      <c r="Q113" s="5"/>
    </row>
    <row r="114" spans="1:17" ht="16.5" customHeight="1">
      <c r="A114" s="48" t="s">
        <v>117</v>
      </c>
      <c r="B114" s="61"/>
      <c r="C114" s="62"/>
      <c r="D114" s="64"/>
      <c r="E114" s="64"/>
      <c r="F114" s="64"/>
      <c r="G114" s="63"/>
      <c r="H114" s="64"/>
      <c r="I114" s="28">
        <f t="shared" si="17"/>
        <v>17872</v>
      </c>
      <c r="J114" s="64"/>
      <c r="K114" s="64"/>
      <c r="L114" s="64"/>
      <c r="M114" s="28">
        <f t="shared" si="18"/>
        <v>17872</v>
      </c>
      <c r="N114" s="64">
        <v>17872</v>
      </c>
      <c r="O114" s="65"/>
      <c r="P114" s="50">
        <f t="shared" si="19"/>
        <v>17872</v>
      </c>
      <c r="Q114" s="5"/>
    </row>
    <row r="115" spans="1:17" ht="17.25" customHeight="1">
      <c r="A115" s="48" t="s">
        <v>118</v>
      </c>
      <c r="B115" s="61"/>
      <c r="C115" s="62"/>
      <c r="D115" s="64"/>
      <c r="E115" s="64"/>
      <c r="F115" s="64"/>
      <c r="G115" s="63"/>
      <c r="H115" s="64"/>
      <c r="I115" s="28">
        <f t="shared" si="17"/>
        <v>17872</v>
      </c>
      <c r="J115" s="64"/>
      <c r="K115" s="64"/>
      <c r="L115" s="64"/>
      <c r="M115" s="28">
        <f t="shared" si="18"/>
        <v>17872</v>
      </c>
      <c r="N115" s="64">
        <v>17872</v>
      </c>
      <c r="O115" s="65"/>
      <c r="P115" s="50">
        <f t="shared" si="19"/>
        <v>17872</v>
      </c>
      <c r="Q115" s="5"/>
    </row>
    <row r="116" spans="1:17" ht="14.25" customHeight="1">
      <c r="A116" s="48" t="s">
        <v>119</v>
      </c>
      <c r="B116" s="61"/>
      <c r="C116" s="62"/>
      <c r="D116" s="64"/>
      <c r="E116" s="64"/>
      <c r="F116" s="64"/>
      <c r="G116" s="63"/>
      <c r="H116" s="64"/>
      <c r="I116" s="28">
        <f t="shared" si="17"/>
        <v>0</v>
      </c>
      <c r="J116" s="64"/>
      <c r="K116" s="64"/>
      <c r="L116" s="64"/>
      <c r="M116" s="28">
        <f t="shared" si="18"/>
        <v>0</v>
      </c>
      <c r="N116" s="64">
        <v>0</v>
      </c>
      <c r="O116" s="65"/>
      <c r="P116" s="50">
        <f t="shared" si="19"/>
        <v>0</v>
      </c>
      <c r="Q116" s="5"/>
    </row>
    <row r="117" spans="1:17" ht="15.75" customHeight="1">
      <c r="A117" s="48" t="s">
        <v>120</v>
      </c>
      <c r="B117" s="61"/>
      <c r="C117" s="62"/>
      <c r="D117" s="64"/>
      <c r="E117" s="64"/>
      <c r="F117" s="64"/>
      <c r="G117" s="63"/>
      <c r="H117" s="64"/>
      <c r="I117" s="28">
        <f t="shared" si="17"/>
        <v>17872</v>
      </c>
      <c r="J117" s="64"/>
      <c r="K117" s="64"/>
      <c r="L117" s="64"/>
      <c r="M117" s="28">
        <f t="shared" si="18"/>
        <v>17872</v>
      </c>
      <c r="N117" s="64">
        <v>17872</v>
      </c>
      <c r="O117" s="65"/>
      <c r="P117" s="50">
        <f t="shared" si="19"/>
        <v>17872</v>
      </c>
      <c r="Q117" s="5"/>
    </row>
    <row r="118" spans="1:17" ht="15.75" customHeight="1">
      <c r="A118" s="48" t="s">
        <v>121</v>
      </c>
      <c r="B118" s="61"/>
      <c r="C118" s="62"/>
      <c r="D118" s="64"/>
      <c r="E118" s="64"/>
      <c r="F118" s="64"/>
      <c r="G118" s="63"/>
      <c r="H118" s="64"/>
      <c r="I118" s="28">
        <f t="shared" si="17"/>
        <v>17871</v>
      </c>
      <c r="J118" s="64"/>
      <c r="K118" s="64"/>
      <c r="L118" s="64"/>
      <c r="M118" s="28">
        <f t="shared" si="18"/>
        <v>17871</v>
      </c>
      <c r="N118" s="64">
        <v>17871</v>
      </c>
      <c r="O118" s="65"/>
      <c r="P118" s="50">
        <f t="shared" si="19"/>
        <v>17871</v>
      </c>
      <c r="Q118" s="5"/>
    </row>
    <row r="119" spans="1:17" ht="15.75" customHeight="1">
      <c r="A119" s="48" t="s">
        <v>122</v>
      </c>
      <c r="B119" s="61"/>
      <c r="C119" s="62"/>
      <c r="D119" s="28"/>
      <c r="E119" s="64"/>
      <c r="F119" s="64"/>
      <c r="G119" s="63"/>
      <c r="H119" s="64"/>
      <c r="I119" s="28">
        <f t="shared" si="17"/>
        <v>17871</v>
      </c>
      <c r="J119" s="64"/>
      <c r="K119" s="64"/>
      <c r="L119" s="64"/>
      <c r="M119" s="28">
        <f t="shared" si="18"/>
        <v>17871</v>
      </c>
      <c r="N119" s="64">
        <v>17871</v>
      </c>
      <c r="O119" s="65"/>
      <c r="P119" s="50">
        <f t="shared" si="19"/>
        <v>17871</v>
      </c>
      <c r="Q119" s="5"/>
    </row>
    <row r="120" spans="1:17" ht="32.25" customHeight="1">
      <c r="A120" s="56" t="s">
        <v>131</v>
      </c>
      <c r="B120" s="66" t="s">
        <v>132</v>
      </c>
      <c r="C120" s="67" t="s">
        <v>133</v>
      </c>
      <c r="D120" s="68">
        <f>D121+D122+D123+D124+D125+D126+D127+D128+D129+D130+D131+D132+D133+D134</f>
        <v>90000</v>
      </c>
      <c r="E120" s="44">
        <f>E121+E122+E123+E124+E125+E126+E127+E128+E129+E130+E131+E132+E133+E134</f>
        <v>90000</v>
      </c>
      <c r="F120" s="70"/>
      <c r="G120" s="69"/>
      <c r="H120" s="70"/>
      <c r="I120" s="70"/>
      <c r="J120" s="70"/>
      <c r="K120" s="70"/>
      <c r="L120" s="70"/>
      <c r="M120" s="70"/>
      <c r="N120" s="70"/>
      <c r="O120" s="59"/>
      <c r="P120" s="45">
        <f>D120+I120+O120</f>
        <v>90000</v>
      </c>
      <c r="Q120" s="5"/>
    </row>
    <row r="121" spans="1:17" ht="15.75" customHeight="1">
      <c r="A121" s="48" t="s">
        <v>109</v>
      </c>
      <c r="B121" s="61"/>
      <c r="C121" s="62"/>
      <c r="D121" s="54">
        <f>E121</f>
        <v>6428</v>
      </c>
      <c r="E121" s="71">
        <v>6428</v>
      </c>
      <c r="F121" s="64"/>
      <c r="G121" s="63"/>
      <c r="H121" s="64"/>
      <c r="I121" s="70"/>
      <c r="J121" s="64"/>
      <c r="K121" s="64"/>
      <c r="L121" s="64"/>
      <c r="M121" s="70"/>
      <c r="N121" s="64"/>
      <c r="O121" s="65"/>
      <c r="P121" s="50">
        <f>D121+I121</f>
        <v>6428</v>
      </c>
      <c r="Q121" s="5"/>
    </row>
    <row r="122" spans="1:17" ht="15.75" customHeight="1">
      <c r="A122" s="48" t="s">
        <v>110</v>
      </c>
      <c r="B122" s="61"/>
      <c r="C122" s="62"/>
      <c r="D122" s="54">
        <f aca="true" t="shared" si="20" ref="D122:D134">E122</f>
        <v>6429</v>
      </c>
      <c r="E122" s="71">
        <v>6429</v>
      </c>
      <c r="F122" s="64"/>
      <c r="G122" s="63"/>
      <c r="H122" s="64"/>
      <c r="I122" s="70"/>
      <c r="J122" s="64"/>
      <c r="K122" s="64"/>
      <c r="L122" s="64"/>
      <c r="M122" s="70"/>
      <c r="N122" s="64"/>
      <c r="O122" s="65"/>
      <c r="P122" s="50">
        <f aca="true" t="shared" si="21" ref="P122:P134">D122+I122</f>
        <v>6429</v>
      </c>
      <c r="Q122" s="5"/>
    </row>
    <row r="123" spans="1:17" ht="15.75" customHeight="1">
      <c r="A123" s="48" t="s">
        <v>111</v>
      </c>
      <c r="B123" s="61"/>
      <c r="C123" s="62"/>
      <c r="D123" s="54">
        <f t="shared" si="20"/>
        <v>6428</v>
      </c>
      <c r="E123" s="71">
        <v>6428</v>
      </c>
      <c r="F123" s="64"/>
      <c r="G123" s="63"/>
      <c r="H123" s="64"/>
      <c r="I123" s="70"/>
      <c r="J123" s="64"/>
      <c r="K123" s="64"/>
      <c r="L123" s="64"/>
      <c r="M123" s="70"/>
      <c r="N123" s="64"/>
      <c r="O123" s="65"/>
      <c r="P123" s="50">
        <f t="shared" si="21"/>
        <v>6428</v>
      </c>
      <c r="Q123" s="5"/>
    </row>
    <row r="124" spans="1:17" ht="15.75" customHeight="1">
      <c r="A124" s="48" t="s">
        <v>112</v>
      </c>
      <c r="B124" s="61"/>
      <c r="C124" s="62"/>
      <c r="D124" s="54">
        <f t="shared" si="20"/>
        <v>6429</v>
      </c>
      <c r="E124" s="71">
        <v>6429</v>
      </c>
      <c r="F124" s="64"/>
      <c r="G124" s="63"/>
      <c r="H124" s="64"/>
      <c r="I124" s="70"/>
      <c r="J124" s="64"/>
      <c r="K124" s="64"/>
      <c r="L124" s="64"/>
      <c r="M124" s="70"/>
      <c r="N124" s="64"/>
      <c r="O124" s="65"/>
      <c r="P124" s="50">
        <f t="shared" si="21"/>
        <v>6429</v>
      </c>
      <c r="Q124" s="5"/>
    </row>
    <row r="125" spans="1:17" ht="15.75" customHeight="1">
      <c r="A125" s="48" t="s">
        <v>113</v>
      </c>
      <c r="B125" s="61"/>
      <c r="C125" s="62"/>
      <c r="D125" s="54">
        <f t="shared" si="20"/>
        <v>6428</v>
      </c>
      <c r="E125" s="71">
        <v>6428</v>
      </c>
      <c r="F125" s="64"/>
      <c r="G125" s="63"/>
      <c r="H125" s="64"/>
      <c r="I125" s="70"/>
      <c r="J125" s="64"/>
      <c r="K125" s="64"/>
      <c r="L125" s="64"/>
      <c r="M125" s="70"/>
      <c r="N125" s="64"/>
      <c r="O125" s="65"/>
      <c r="P125" s="50">
        <f t="shared" si="21"/>
        <v>6428</v>
      </c>
      <c r="Q125" s="5"/>
    </row>
    <row r="126" spans="1:17" ht="15.75" customHeight="1">
      <c r="A126" s="48" t="s">
        <v>114</v>
      </c>
      <c r="B126" s="61"/>
      <c r="C126" s="62"/>
      <c r="D126" s="54">
        <f t="shared" si="20"/>
        <v>6429</v>
      </c>
      <c r="E126" s="71">
        <v>6429</v>
      </c>
      <c r="F126" s="64"/>
      <c r="G126" s="63"/>
      <c r="H126" s="64"/>
      <c r="I126" s="70"/>
      <c r="J126" s="64"/>
      <c r="K126" s="64"/>
      <c r="L126" s="64"/>
      <c r="M126" s="70"/>
      <c r="N126" s="64"/>
      <c r="O126" s="65"/>
      <c r="P126" s="50">
        <f t="shared" si="21"/>
        <v>6429</v>
      </c>
      <c r="Q126" s="5"/>
    </row>
    <row r="127" spans="1:17" ht="15.75" customHeight="1">
      <c r="A127" s="48" t="s">
        <v>115</v>
      </c>
      <c r="B127" s="61"/>
      <c r="C127" s="62"/>
      <c r="D127" s="54">
        <f t="shared" si="20"/>
        <v>6428</v>
      </c>
      <c r="E127" s="71">
        <v>6428</v>
      </c>
      <c r="F127" s="64"/>
      <c r="G127" s="63"/>
      <c r="H127" s="64"/>
      <c r="I127" s="70"/>
      <c r="J127" s="64"/>
      <c r="K127" s="64"/>
      <c r="L127" s="64"/>
      <c r="M127" s="70"/>
      <c r="N127" s="64"/>
      <c r="O127" s="65"/>
      <c r="P127" s="50">
        <f t="shared" si="21"/>
        <v>6428</v>
      </c>
      <c r="Q127" s="5"/>
    </row>
    <row r="128" spans="1:17" ht="15.75" customHeight="1">
      <c r="A128" s="48" t="s">
        <v>116</v>
      </c>
      <c r="B128" s="61"/>
      <c r="C128" s="62"/>
      <c r="D128" s="54">
        <f t="shared" si="20"/>
        <v>6429</v>
      </c>
      <c r="E128" s="71">
        <v>6429</v>
      </c>
      <c r="F128" s="64"/>
      <c r="G128" s="63"/>
      <c r="H128" s="64"/>
      <c r="I128" s="70"/>
      <c r="J128" s="64"/>
      <c r="K128" s="64"/>
      <c r="L128" s="64"/>
      <c r="M128" s="70"/>
      <c r="N128" s="64"/>
      <c r="O128" s="65"/>
      <c r="P128" s="50">
        <f t="shared" si="21"/>
        <v>6429</v>
      </c>
      <c r="Q128" s="5"/>
    </row>
    <row r="129" spans="1:17" ht="15.75" customHeight="1">
      <c r="A129" s="48" t="s">
        <v>117</v>
      </c>
      <c r="B129" s="61"/>
      <c r="C129" s="62"/>
      <c r="D129" s="54">
        <f t="shared" si="20"/>
        <v>6428</v>
      </c>
      <c r="E129" s="71">
        <v>6428</v>
      </c>
      <c r="F129" s="64"/>
      <c r="G129" s="63"/>
      <c r="H129" s="64"/>
      <c r="I129" s="70"/>
      <c r="J129" s="64"/>
      <c r="K129" s="64"/>
      <c r="L129" s="64"/>
      <c r="M129" s="70"/>
      <c r="N129" s="64"/>
      <c r="O129" s="65"/>
      <c r="P129" s="50">
        <f t="shared" si="21"/>
        <v>6428</v>
      </c>
      <c r="Q129" s="5"/>
    </row>
    <row r="130" spans="1:19" ht="15.75" customHeight="1">
      <c r="A130" s="48" t="s">
        <v>118</v>
      </c>
      <c r="B130" s="61"/>
      <c r="C130" s="62"/>
      <c r="D130" s="54">
        <f t="shared" si="20"/>
        <v>6429</v>
      </c>
      <c r="E130" s="71">
        <v>6429</v>
      </c>
      <c r="F130" s="64"/>
      <c r="G130" s="63"/>
      <c r="H130" s="64"/>
      <c r="I130" s="70"/>
      <c r="J130" s="64"/>
      <c r="K130" s="64"/>
      <c r="L130" s="64"/>
      <c r="M130" s="70"/>
      <c r="N130" s="64"/>
      <c r="O130" s="65"/>
      <c r="P130" s="50">
        <f t="shared" si="21"/>
        <v>6429</v>
      </c>
      <c r="Q130" s="5"/>
      <c r="S130" s="6">
        <f>2785927-169130-214462-309000</f>
        <v>2093335</v>
      </c>
    </row>
    <row r="131" spans="1:19" ht="15.75" customHeight="1">
      <c r="A131" s="48" t="s">
        <v>119</v>
      </c>
      <c r="B131" s="61"/>
      <c r="C131" s="62"/>
      <c r="D131" s="54">
        <f t="shared" si="20"/>
        <v>6429</v>
      </c>
      <c r="E131" s="71">
        <v>6429</v>
      </c>
      <c r="F131" s="64"/>
      <c r="G131" s="63"/>
      <c r="H131" s="64"/>
      <c r="I131" s="70"/>
      <c r="J131" s="64"/>
      <c r="K131" s="64"/>
      <c r="L131" s="64"/>
      <c r="M131" s="70"/>
      <c r="N131" s="64"/>
      <c r="O131" s="65"/>
      <c r="P131" s="50">
        <f t="shared" si="21"/>
        <v>6429</v>
      </c>
      <c r="Q131" s="5"/>
      <c r="S131" s="123"/>
    </row>
    <row r="132" spans="1:19" ht="15.75" customHeight="1">
      <c r="A132" s="48" t="s">
        <v>120</v>
      </c>
      <c r="B132" s="61"/>
      <c r="C132" s="62"/>
      <c r="D132" s="54">
        <f t="shared" si="20"/>
        <v>6428</v>
      </c>
      <c r="E132" s="71">
        <v>6428</v>
      </c>
      <c r="F132" s="64"/>
      <c r="G132" s="63"/>
      <c r="H132" s="64"/>
      <c r="I132" s="70"/>
      <c r="J132" s="64"/>
      <c r="K132" s="64"/>
      <c r="L132" s="64"/>
      <c r="M132" s="70"/>
      <c r="N132" s="64"/>
      <c r="O132" s="65"/>
      <c r="P132" s="50">
        <f t="shared" si="21"/>
        <v>6428</v>
      </c>
      <c r="Q132" s="5"/>
      <c r="S132" s="123">
        <f>N135-S130</f>
        <v>-1</v>
      </c>
    </row>
    <row r="133" spans="1:17" ht="16.5">
      <c r="A133" s="48" t="s">
        <v>121</v>
      </c>
      <c r="B133" s="61"/>
      <c r="C133" s="62"/>
      <c r="D133" s="54">
        <f t="shared" si="20"/>
        <v>6429</v>
      </c>
      <c r="E133" s="71">
        <v>6429</v>
      </c>
      <c r="F133" s="64"/>
      <c r="G133" s="63"/>
      <c r="H133" s="64"/>
      <c r="I133" s="70"/>
      <c r="J133" s="64"/>
      <c r="K133" s="64"/>
      <c r="L133" s="64"/>
      <c r="M133" s="70"/>
      <c r="N133" s="64"/>
      <c r="O133" s="65"/>
      <c r="P133" s="50">
        <f t="shared" si="21"/>
        <v>6429</v>
      </c>
      <c r="Q133" s="5"/>
    </row>
    <row r="134" spans="1:17" ht="17.25" thickBot="1">
      <c r="A134" s="48" t="s">
        <v>122</v>
      </c>
      <c r="B134" s="26"/>
      <c r="C134" s="27"/>
      <c r="D134" s="54">
        <f t="shared" si="20"/>
        <v>6429</v>
      </c>
      <c r="E134" s="71">
        <v>6429</v>
      </c>
      <c r="F134" s="28"/>
      <c r="G134" s="49"/>
      <c r="H134" s="28"/>
      <c r="I134" s="22"/>
      <c r="J134" s="28"/>
      <c r="K134" s="28"/>
      <c r="L134" s="28"/>
      <c r="M134" s="22"/>
      <c r="N134" s="28"/>
      <c r="O134" s="28"/>
      <c r="P134" s="124">
        <f t="shared" si="21"/>
        <v>6429</v>
      </c>
      <c r="Q134" s="5"/>
    </row>
    <row r="135" spans="1:21" ht="27" customHeight="1" thickBot="1">
      <c r="A135" s="72" t="s">
        <v>134</v>
      </c>
      <c r="B135" s="73" t="s">
        <v>135</v>
      </c>
      <c r="C135" s="74" t="s">
        <v>136</v>
      </c>
      <c r="D135" s="68">
        <f>D136+D137+D138+D139+D140+D141+D142+D143+D144+D145+D146+D147+D148+D149</f>
        <v>43102982</v>
      </c>
      <c r="E135" s="68">
        <f>E136+E137+E138+E139+E140+E141+E142+E143+E144+E145+E146+E147+E148+E149</f>
        <v>43102982</v>
      </c>
      <c r="F135" s="112">
        <f>F136+F137+F138+F139+F140+F141+F142+F143+F144+F145+F146+F147+F148+F149</f>
        <v>20198606</v>
      </c>
      <c r="G135" s="68">
        <f>G136+G137+G138+G139+G140+G141+G142+G143+G144+G145+G146+G147+G148+G149</f>
        <v>14285584</v>
      </c>
      <c r="H135" s="75"/>
      <c r="I135" s="122">
        <f aca="true" t="shared" si="22" ref="I135:I141">J135+M135</f>
        <v>3980173.74</v>
      </c>
      <c r="J135" s="122">
        <f>J136+J137+J138+J139+J140+J141+J142+J143+J144+J145+J146+J147+J148+J149</f>
        <v>1886839.74</v>
      </c>
      <c r="K135" s="68">
        <f>K136+K137+K138+K139+K140+K141+K142+K143+K144+K145+K146+K147+K148+K149</f>
        <v>720388.98</v>
      </c>
      <c r="L135" s="75">
        <f>L136+L137+L138+L139+L140+L141+L142+L143+L144+L145+L146+L147+L148+L149</f>
        <v>18570</v>
      </c>
      <c r="M135" s="68">
        <f>M136+M137+M138+M139+M140+M141+M142+M143+M144+M145+M146+M147+M148+M149</f>
        <v>2093334</v>
      </c>
      <c r="N135" s="68">
        <f>N136+N137+N138+N139+N140+N141+N142+N143+N144+N145+N146+N147+N148+N149</f>
        <v>2093334</v>
      </c>
      <c r="O135" s="16">
        <v>0</v>
      </c>
      <c r="P135" s="97">
        <f>D135+I135</f>
        <v>47083155.74</v>
      </c>
      <c r="Q135" s="5"/>
      <c r="S135" s="123"/>
      <c r="T135" s="123">
        <f>N135-169130-M105</f>
        <v>1709742</v>
      </c>
      <c r="U135" s="123">
        <f>T135</f>
        <v>1709742</v>
      </c>
    </row>
    <row r="136" spans="1:17" ht="16.5">
      <c r="A136" s="48" t="s">
        <v>109</v>
      </c>
      <c r="B136" s="26"/>
      <c r="C136" s="27"/>
      <c r="D136" s="54">
        <f>E136</f>
        <v>3144158</v>
      </c>
      <c r="E136" s="54">
        <f>3002422+82617+5572+18741+32069+7064-1410-4737+4737+2737+379-7064+1031</f>
        <v>3144158</v>
      </c>
      <c r="F136" s="28">
        <v>1459218</v>
      </c>
      <c r="G136" s="28">
        <v>1092609</v>
      </c>
      <c r="H136" s="28"/>
      <c r="I136" s="43">
        <f t="shared" si="22"/>
        <v>419681</v>
      </c>
      <c r="J136" s="28">
        <f>314086+16000+2000+1500+40859+650-2075-1425+1000</f>
        <v>372595</v>
      </c>
      <c r="K136" s="28">
        <f>203452</f>
        <v>203452</v>
      </c>
      <c r="L136" s="28">
        <f>10476</f>
        <v>10476</v>
      </c>
      <c r="M136" s="22">
        <f>N136</f>
        <v>47086</v>
      </c>
      <c r="N136" s="28">
        <f>77967-17871-13010</f>
        <v>47086</v>
      </c>
      <c r="O136" s="29"/>
      <c r="P136" s="96">
        <f aca="true" t="shared" si="23" ref="P136:P149">D136+I136</f>
        <v>3563839</v>
      </c>
      <c r="Q136" s="5"/>
    </row>
    <row r="137" spans="1:17" ht="16.5">
      <c r="A137" s="48" t="s">
        <v>110</v>
      </c>
      <c r="B137" s="26"/>
      <c r="C137" s="27"/>
      <c r="D137" s="54">
        <f>E137</f>
        <v>6182949</v>
      </c>
      <c r="E137" s="54">
        <f>5990271+52122+37000+5571+10768+22095+33133+8615-500+1760+23972+18017-10000+250-8615+250-1760</f>
        <v>6182949</v>
      </c>
      <c r="F137" s="28">
        <v>3532089</v>
      </c>
      <c r="G137" s="28">
        <v>1759050</v>
      </c>
      <c r="H137" s="28"/>
      <c r="I137" s="43">
        <f t="shared" si="22"/>
        <v>596338</v>
      </c>
      <c r="J137" s="28">
        <f>393655+792+9660+225+2021+650</f>
        <v>407003</v>
      </c>
      <c r="K137" s="28">
        <f>2021</f>
        <v>2021</v>
      </c>
      <c r="L137" s="28">
        <f>225</f>
        <v>225</v>
      </c>
      <c r="M137" s="22">
        <f aca="true" t="shared" si="24" ref="M137:M149">N137</f>
        <v>189335</v>
      </c>
      <c r="N137" s="28">
        <f>220217-17872-13010</f>
        <v>189335</v>
      </c>
      <c r="O137" s="29"/>
      <c r="P137" s="50">
        <f t="shared" si="23"/>
        <v>6779287</v>
      </c>
      <c r="Q137" s="5"/>
    </row>
    <row r="138" spans="1:17" s="91" customFormat="1" ht="15.75" customHeight="1">
      <c r="A138" s="48" t="s">
        <v>111</v>
      </c>
      <c r="B138" s="26"/>
      <c r="C138" s="27"/>
      <c r="D138" s="54">
        <f>E138</f>
        <v>2692523</v>
      </c>
      <c r="E138" s="54">
        <f>2545587+59552+30000+5572+22095+33133-3416+2135+954-700-954-2135+700</f>
        <v>2692523</v>
      </c>
      <c r="F138" s="28">
        <v>1150647</v>
      </c>
      <c r="G138" s="28">
        <f>948120-3416</f>
        <v>944704</v>
      </c>
      <c r="H138" s="28"/>
      <c r="I138" s="22">
        <f t="shared" si="22"/>
        <v>119190</v>
      </c>
      <c r="J138" s="28">
        <f>34020+18900+5650+786+46</f>
        <v>59402</v>
      </c>
      <c r="K138" s="28"/>
      <c r="L138" s="28"/>
      <c r="M138" s="22">
        <f t="shared" si="24"/>
        <v>59788</v>
      </c>
      <c r="N138" s="28">
        <f>412681-309000-17872-13010-13011</f>
        <v>59788</v>
      </c>
      <c r="O138" s="29"/>
      <c r="P138" s="50">
        <f t="shared" si="23"/>
        <v>2811713</v>
      </c>
      <c r="Q138" s="5"/>
    </row>
    <row r="139" spans="1:21" s="91" customFormat="1" ht="16.5">
      <c r="A139" s="48" t="s">
        <v>112</v>
      </c>
      <c r="B139" s="26"/>
      <c r="C139" s="27"/>
      <c r="D139" s="54">
        <f aca="true" t="shared" si="25" ref="D139:D149">E139</f>
        <v>2569338</v>
      </c>
      <c r="E139" s="115">
        <f>2523717+13050+30000+5571-3000+1400-636-223+30+6794-1400+636-6571-30</f>
        <v>2569338</v>
      </c>
      <c r="F139" s="28">
        <v>1045946</v>
      </c>
      <c r="G139" s="28">
        <f>1169943-3000</f>
        <v>1166943</v>
      </c>
      <c r="H139" s="28"/>
      <c r="I139" s="22">
        <f t="shared" si="22"/>
        <v>53893</v>
      </c>
      <c r="J139" s="28">
        <f>39072+14171+650</f>
        <v>53893</v>
      </c>
      <c r="K139" s="28"/>
      <c r="L139" s="28"/>
      <c r="M139" s="22">
        <f t="shared" si="24"/>
        <v>0</v>
      </c>
      <c r="N139" s="28"/>
      <c r="O139" s="29"/>
      <c r="P139" s="50">
        <f t="shared" si="23"/>
        <v>2623231</v>
      </c>
      <c r="Q139" s="5"/>
      <c r="S139" s="121">
        <f>N135-2093334</f>
        <v>0</v>
      </c>
      <c r="U139" s="121">
        <f>2093334-T135</f>
        <v>383592</v>
      </c>
    </row>
    <row r="140" spans="1:17" s="91" customFormat="1" ht="16.5">
      <c r="A140" s="48" t="s">
        <v>113</v>
      </c>
      <c r="B140" s="26"/>
      <c r="C140" s="27"/>
      <c r="D140" s="54">
        <f>E140</f>
        <v>2548725</v>
      </c>
      <c r="E140" s="54">
        <f>2278754+2500+5572+14730+21352+19000+120000+9500+377-4206+78277-960+4206-377</f>
        <v>2548725</v>
      </c>
      <c r="F140" s="28">
        <f>1341283</f>
        <v>1341283</v>
      </c>
      <c r="G140" s="28">
        <f>522385+19000+120000+9500</f>
        <v>670885</v>
      </c>
      <c r="H140" s="28"/>
      <c r="I140" s="22">
        <f t="shared" si="22"/>
        <v>141617</v>
      </c>
      <c r="J140" s="28">
        <f>130335+4158</f>
        <v>134493</v>
      </c>
      <c r="K140" s="28">
        <v>0</v>
      </c>
      <c r="L140" s="28">
        <v>0</v>
      </c>
      <c r="M140" s="22">
        <f t="shared" si="24"/>
        <v>7124</v>
      </c>
      <c r="N140" s="28">
        <f>38006-17873-13009</f>
        <v>7124</v>
      </c>
      <c r="O140" s="29"/>
      <c r="P140" s="50">
        <f t="shared" si="23"/>
        <v>2690342</v>
      </c>
      <c r="Q140" s="5"/>
    </row>
    <row r="141" spans="1:19" s="91" customFormat="1" ht="16.5">
      <c r="A141" s="48" t="s">
        <v>114</v>
      </c>
      <c r="B141" s="26"/>
      <c r="C141" s="27"/>
      <c r="D141" s="54">
        <f t="shared" si="25"/>
        <v>3416495</v>
      </c>
      <c r="E141" s="54">
        <f>3157745+13534+5571+14730+16935+109995+34000+250-1000+9642+4000-2414-1820+4776-3300+5470-2170-4000-9642+2414-380+2200+59959</f>
        <v>3416495</v>
      </c>
      <c r="F141" s="28">
        <f>1540560</f>
        <v>1540560</v>
      </c>
      <c r="G141" s="28">
        <f>928729+34000-1000</f>
        <v>961729</v>
      </c>
      <c r="H141" s="28"/>
      <c r="I141" s="22">
        <f t="shared" si="22"/>
        <v>26989.760000000002</v>
      </c>
      <c r="J141" s="28">
        <f>8880.76+650+7333+3000</f>
        <v>19863.760000000002</v>
      </c>
      <c r="K141" s="28"/>
      <c r="L141" s="28"/>
      <c r="M141" s="22">
        <f t="shared" si="24"/>
        <v>7126</v>
      </c>
      <c r="N141" s="28">
        <f>38007-17871-13010</f>
        <v>7126</v>
      </c>
      <c r="O141" s="29"/>
      <c r="P141" s="45">
        <f t="shared" si="23"/>
        <v>3443484.76</v>
      </c>
      <c r="Q141" s="5"/>
      <c r="S141" s="121">
        <f>N135-169130-214462</f>
        <v>1709742</v>
      </c>
    </row>
    <row r="142" spans="1:17" s="91" customFormat="1" ht="16.5">
      <c r="A142" s="48" t="s">
        <v>115</v>
      </c>
      <c r="B142" s="26"/>
      <c r="C142" s="27"/>
      <c r="D142" s="54">
        <f t="shared" si="25"/>
        <v>2484138</v>
      </c>
      <c r="E142" s="54">
        <f>2349099+1000+59425+5572+14730+22089+34000-10298-780-2737+960-2990-2830+5820+1573-106+106+780+8725-780+780</f>
        <v>2484138</v>
      </c>
      <c r="F142" s="28">
        <f>1516648</f>
        <v>1516648</v>
      </c>
      <c r="G142" s="28">
        <f>428057+34000</f>
        <v>462057</v>
      </c>
      <c r="H142" s="28"/>
      <c r="I142" s="22">
        <f aca="true" t="shared" si="26" ref="I142:I149">J142+M142</f>
        <v>736631</v>
      </c>
      <c r="J142" s="28">
        <f>76105+650</f>
        <v>76755</v>
      </c>
      <c r="K142" s="28"/>
      <c r="L142" s="28"/>
      <c r="M142" s="22">
        <f t="shared" si="24"/>
        <v>659876</v>
      </c>
      <c r="N142" s="28">
        <f>690758-17872-13010</f>
        <v>659876</v>
      </c>
      <c r="O142" s="29"/>
      <c r="P142" s="50">
        <f t="shared" si="23"/>
        <v>3220769</v>
      </c>
      <c r="Q142" s="5"/>
    </row>
    <row r="143" spans="1:19" s="91" customFormat="1" ht="16.5">
      <c r="A143" s="48" t="s">
        <v>116</v>
      </c>
      <c r="B143" s="26"/>
      <c r="C143" s="27"/>
      <c r="D143" s="54">
        <f t="shared" si="25"/>
        <v>4669449</v>
      </c>
      <c r="E143" s="54">
        <f>4582792+2500+30000+5571+22095+33133+7171-1553+422-7000-1228+1228-7171+120-22-382+1553+220</f>
        <v>4669449</v>
      </c>
      <c r="F143" s="28">
        <v>1700974</v>
      </c>
      <c r="G143" s="28">
        <v>2268667</v>
      </c>
      <c r="H143" s="28"/>
      <c r="I143" s="22">
        <f>J143+M143</f>
        <v>171125</v>
      </c>
      <c r="J143" s="28">
        <f>148500+930+8145+481+837+3803+241+413+650</f>
        <v>164000</v>
      </c>
      <c r="K143" s="28">
        <f>8145+3803+837</f>
        <v>12785</v>
      </c>
      <c r="L143" s="28">
        <f>481+241+413</f>
        <v>1135</v>
      </c>
      <c r="M143" s="22">
        <f t="shared" si="24"/>
        <v>7125</v>
      </c>
      <c r="N143" s="28">
        <f>38007-17872-13010</f>
        <v>7125</v>
      </c>
      <c r="O143" s="29"/>
      <c r="P143" s="50">
        <f t="shared" si="23"/>
        <v>4840574</v>
      </c>
      <c r="Q143" s="5"/>
      <c r="S143" s="121">
        <f>N135-169130-214462</f>
        <v>1709742</v>
      </c>
    </row>
    <row r="144" spans="1:17" s="91" customFormat="1" ht="16.5">
      <c r="A144" s="48" t="s">
        <v>117</v>
      </c>
      <c r="B144" s="26"/>
      <c r="C144" s="27"/>
      <c r="D144" s="54">
        <f t="shared" si="25"/>
        <v>3275212</v>
      </c>
      <c r="E144" s="54">
        <f>2998194+2500+30000+5572+29460+39759+49000-120000-5000+10666+26231+366+3863+251578-6217+20000-20000-1573-3068-9093-23163-3863</f>
        <v>3275212</v>
      </c>
      <c r="F144" s="28">
        <f>1440692</f>
        <v>1440692</v>
      </c>
      <c r="G144" s="28">
        <f>1028712+49000-120000-5000</f>
        <v>952712</v>
      </c>
      <c r="H144" s="28"/>
      <c r="I144" s="22">
        <f t="shared" si="26"/>
        <v>73216</v>
      </c>
      <c r="J144" s="28">
        <f>40000+650</f>
        <v>40650</v>
      </c>
      <c r="K144" s="28"/>
      <c r="L144" s="28"/>
      <c r="M144" s="22">
        <f t="shared" si="24"/>
        <v>32566</v>
      </c>
      <c r="N144" s="28">
        <f>63448-17872-13010</f>
        <v>32566</v>
      </c>
      <c r="O144" s="29"/>
      <c r="P144" s="50">
        <f t="shared" si="23"/>
        <v>3348428</v>
      </c>
      <c r="Q144" s="5"/>
    </row>
    <row r="145" spans="1:19" s="91" customFormat="1" ht="16.5">
      <c r="A145" s="48" t="s">
        <v>118</v>
      </c>
      <c r="B145" s="26"/>
      <c r="C145" s="27"/>
      <c r="D145" s="54">
        <f t="shared" si="25"/>
        <v>4501277</v>
      </c>
      <c r="E145" s="54">
        <f>4415059+1180+5571+29460+34605+3416+6361+476-520+11986-12120+12120-14-84-5000-422-6361+4524+520+520</f>
        <v>4501277</v>
      </c>
      <c r="F145" s="28">
        <v>1708687</v>
      </c>
      <c r="G145" s="28">
        <f>2097486+3416</f>
        <v>2100902</v>
      </c>
      <c r="H145" s="28"/>
      <c r="I145" s="22">
        <f t="shared" si="26"/>
        <v>547234</v>
      </c>
      <c r="J145" s="28">
        <f>1878</f>
        <v>1878</v>
      </c>
      <c r="K145" s="28"/>
      <c r="L145" s="28"/>
      <c r="M145" s="22">
        <f t="shared" si="24"/>
        <v>545356</v>
      </c>
      <c r="N145" s="28">
        <f>576238-17871-13011</f>
        <v>545356</v>
      </c>
      <c r="O145" s="29"/>
      <c r="P145" s="50">
        <f t="shared" si="23"/>
        <v>5048511</v>
      </c>
      <c r="Q145" s="5"/>
      <c r="S145" s="121">
        <f>N135-169130-214462</f>
        <v>1709742</v>
      </c>
    </row>
    <row r="146" spans="1:17" s="91" customFormat="1" ht="16.5">
      <c r="A146" s="48" t="s">
        <v>119</v>
      </c>
      <c r="B146" s="26"/>
      <c r="C146" s="27"/>
      <c r="D146" s="54">
        <f t="shared" si="25"/>
        <v>1256993</v>
      </c>
      <c r="E146" s="54">
        <f>1207436+2500+30000+5571-500+765+11986-765</f>
        <v>1256993</v>
      </c>
      <c r="F146" s="28">
        <v>737746</v>
      </c>
      <c r="G146" s="28">
        <f>426703-500</f>
        <v>426203</v>
      </c>
      <c r="H146" s="28"/>
      <c r="I146" s="22">
        <f>J146+M146</f>
        <v>531874.98</v>
      </c>
      <c r="J146" s="28">
        <f>410940+98594.25+21690.73+650</f>
        <v>531874.98</v>
      </c>
      <c r="K146" s="28">
        <f>381846+98594.25+21690.73</f>
        <v>502130.98</v>
      </c>
      <c r="L146" s="28">
        <f>6734</f>
        <v>6734</v>
      </c>
      <c r="M146" s="22">
        <f t="shared" si="24"/>
        <v>0</v>
      </c>
      <c r="N146" s="28">
        <v>0</v>
      </c>
      <c r="O146" s="29"/>
      <c r="P146" s="50">
        <f t="shared" si="23"/>
        <v>1788867.98</v>
      </c>
      <c r="Q146" s="5"/>
    </row>
    <row r="147" spans="1:19" s="91" customFormat="1" ht="16.5">
      <c r="A147" s="48" t="s">
        <v>120</v>
      </c>
      <c r="B147" s="26"/>
      <c r="C147" s="27"/>
      <c r="D147" s="54">
        <f t="shared" si="25"/>
        <v>2974602</v>
      </c>
      <c r="E147" s="54">
        <f>2588520+7500+5572+14730+16198+180918+868-520+161164+382-868-290+428</f>
        <v>2974602</v>
      </c>
      <c r="F147" s="28">
        <v>1266903</v>
      </c>
      <c r="G147" s="28">
        <v>813467</v>
      </c>
      <c r="H147" s="28"/>
      <c r="I147" s="22">
        <f t="shared" si="26"/>
        <v>168038</v>
      </c>
      <c r="J147" s="28">
        <v>1890</v>
      </c>
      <c r="K147" s="28"/>
      <c r="L147" s="28"/>
      <c r="M147" s="22">
        <f t="shared" si="24"/>
        <v>166148</v>
      </c>
      <c r="N147" s="28">
        <f>197030-17872-13010</f>
        <v>166148</v>
      </c>
      <c r="O147" s="29"/>
      <c r="P147" s="50">
        <f t="shared" si="23"/>
        <v>3142640</v>
      </c>
      <c r="Q147" s="5"/>
      <c r="S147" s="121">
        <f>N135-13010</f>
        <v>2080324</v>
      </c>
    </row>
    <row r="148" spans="1:17" s="91" customFormat="1" ht="16.5">
      <c r="A148" s="48" t="s">
        <v>121</v>
      </c>
      <c r="B148" s="26"/>
      <c r="C148" s="27"/>
      <c r="D148" s="54">
        <f t="shared" si="25"/>
        <v>1747487</v>
      </c>
      <c r="E148" s="54">
        <f>1471851+2500+5571+7365+50000+6627+119301+34000-250-17771-609-34986-500-1300+46046+5200+14239+500+17771+20747+609+1300-724</f>
        <v>1747487</v>
      </c>
      <c r="F148" s="28">
        <f>891607</f>
        <v>891607</v>
      </c>
      <c r="G148" s="28">
        <f>255380+34000</f>
        <v>289380</v>
      </c>
      <c r="H148" s="28"/>
      <c r="I148" s="22">
        <f t="shared" si="26"/>
        <v>373758</v>
      </c>
      <c r="J148" s="28">
        <f>650+8428</f>
        <v>9078</v>
      </c>
      <c r="K148" s="28"/>
      <c r="L148" s="28"/>
      <c r="M148" s="22">
        <f t="shared" si="24"/>
        <v>364680</v>
      </c>
      <c r="N148" s="28">
        <f>395562-17872-13010</f>
        <v>364680</v>
      </c>
      <c r="O148" s="29"/>
      <c r="P148" s="50">
        <f t="shared" si="23"/>
        <v>2121245</v>
      </c>
      <c r="Q148" s="5"/>
    </row>
    <row r="149" spans="1:17" s="91" customFormat="1" ht="16.5">
      <c r="A149" s="48" t="s">
        <v>122</v>
      </c>
      <c r="B149" s="26"/>
      <c r="C149" s="27"/>
      <c r="D149" s="54">
        <f t="shared" si="25"/>
        <v>1639636</v>
      </c>
      <c r="E149" s="54">
        <f>1563346+2500+5571+7365+5154+20700-20230+9010-1200+35000-5809+20230-3201+1200</f>
        <v>1639636</v>
      </c>
      <c r="F149" s="28">
        <v>865606</v>
      </c>
      <c r="G149" s="28">
        <v>376276</v>
      </c>
      <c r="H149" s="28"/>
      <c r="I149" s="22">
        <f t="shared" si="26"/>
        <v>20588</v>
      </c>
      <c r="J149" s="28">
        <f>3780+650+9034</f>
        <v>13464</v>
      </c>
      <c r="K149" s="28"/>
      <c r="L149" s="28"/>
      <c r="M149" s="22">
        <f t="shared" si="24"/>
        <v>7124</v>
      </c>
      <c r="N149" s="28">
        <f>38006-17872-13010</f>
        <v>7124</v>
      </c>
      <c r="O149" s="29"/>
      <c r="P149" s="50">
        <f t="shared" si="23"/>
        <v>1660224</v>
      </c>
      <c r="Q149" s="5"/>
    </row>
    <row r="150" spans="1:17" ht="2.25" customHeight="1">
      <c r="A150" s="25"/>
      <c r="B150" s="26"/>
      <c r="C150" s="27"/>
      <c r="D150" s="54"/>
      <c r="E150" s="54"/>
      <c r="F150" s="28"/>
      <c r="G150" s="1"/>
      <c r="H150" s="28"/>
      <c r="I150" s="28"/>
      <c r="J150" s="28"/>
      <c r="K150" s="28"/>
      <c r="L150" s="28"/>
      <c r="M150" s="28"/>
      <c r="N150" s="28"/>
      <c r="O150" s="28"/>
      <c r="P150" s="54"/>
      <c r="Q150" s="5"/>
    </row>
    <row r="151" spans="1:17" ht="25.5" customHeight="1" hidden="1">
      <c r="A151" s="25"/>
      <c r="B151" s="26"/>
      <c r="C151" s="76" t="s">
        <v>124</v>
      </c>
      <c r="D151" s="54">
        <f>E151</f>
        <v>0</v>
      </c>
      <c r="E151" s="54">
        <f aca="true" t="shared" si="27" ref="E151:O151">E152+E153+E154+E155+E156+E157+E158+E159+E160+E161+E162+E163+E164+E165</f>
        <v>0</v>
      </c>
      <c r="F151" s="22">
        <f t="shared" si="27"/>
        <v>0</v>
      </c>
      <c r="G151" s="22">
        <f t="shared" si="27"/>
        <v>0</v>
      </c>
      <c r="H151" s="28">
        <f t="shared" si="27"/>
        <v>0</v>
      </c>
      <c r="I151" s="22">
        <f t="shared" si="27"/>
        <v>0</v>
      </c>
      <c r="J151" s="28">
        <f t="shared" si="27"/>
        <v>0</v>
      </c>
      <c r="K151" s="28">
        <f t="shared" si="27"/>
        <v>0</v>
      </c>
      <c r="L151" s="28">
        <f t="shared" si="27"/>
        <v>0</v>
      </c>
      <c r="M151" s="22">
        <f t="shared" si="27"/>
        <v>0</v>
      </c>
      <c r="N151" s="22">
        <f>N152+N153+N154+N155+N156+N157+N158+N159+N160+N161+N162+N163+N164+N165</f>
        <v>0</v>
      </c>
      <c r="O151" s="29">
        <f t="shared" si="27"/>
        <v>0</v>
      </c>
      <c r="P151" s="50">
        <f>D151+I151+O151</f>
        <v>0</v>
      </c>
      <c r="Q151" s="5"/>
    </row>
    <row r="152" spans="1:17" ht="16.5" hidden="1">
      <c r="A152" s="48" t="s">
        <v>109</v>
      </c>
      <c r="B152" s="26"/>
      <c r="C152" s="27"/>
      <c r="D152" s="54"/>
      <c r="E152" s="54"/>
      <c r="F152" s="28"/>
      <c r="G152" s="49"/>
      <c r="H152" s="28"/>
      <c r="I152" s="22">
        <f>J152+M152</f>
        <v>0</v>
      </c>
      <c r="J152" s="28"/>
      <c r="K152" s="28"/>
      <c r="L152" s="28"/>
      <c r="M152" s="22">
        <f>N152</f>
        <v>0</v>
      </c>
      <c r="N152" s="28"/>
      <c r="O152" s="29"/>
      <c r="P152" s="50">
        <f>D152+I152</f>
        <v>0</v>
      </c>
      <c r="Q152" s="5"/>
    </row>
    <row r="153" spans="1:17" ht="16.5" hidden="1">
      <c r="A153" s="48" t="s">
        <v>110</v>
      </c>
      <c r="B153" s="26"/>
      <c r="C153" s="27"/>
      <c r="D153" s="28"/>
      <c r="E153" s="54"/>
      <c r="F153" s="28"/>
      <c r="G153" s="49"/>
      <c r="H153" s="28"/>
      <c r="I153" s="22">
        <f>J153+M153</f>
        <v>0</v>
      </c>
      <c r="J153" s="28"/>
      <c r="K153" s="28"/>
      <c r="L153" s="28"/>
      <c r="M153" s="22">
        <f>N153</f>
        <v>0</v>
      </c>
      <c r="N153" s="28"/>
      <c r="O153" s="29"/>
      <c r="P153" s="50">
        <f>D153+I153</f>
        <v>0</v>
      </c>
      <c r="Q153" s="5"/>
    </row>
    <row r="154" spans="1:17" ht="16.5" hidden="1">
      <c r="A154" s="48" t="s">
        <v>111</v>
      </c>
      <c r="B154" s="26"/>
      <c r="C154" s="27"/>
      <c r="D154" s="28"/>
      <c r="E154" s="54"/>
      <c r="F154" s="28"/>
      <c r="G154" s="49"/>
      <c r="H154" s="28"/>
      <c r="I154" s="22">
        <f>J154+M154</f>
        <v>0</v>
      </c>
      <c r="J154" s="28"/>
      <c r="K154" s="28"/>
      <c r="L154" s="28"/>
      <c r="M154" s="22">
        <v>0</v>
      </c>
      <c r="N154" s="28">
        <v>0</v>
      </c>
      <c r="O154" s="29"/>
      <c r="P154" s="50">
        <f>D154+I154+O154</f>
        <v>0</v>
      </c>
      <c r="Q154" s="5"/>
    </row>
    <row r="155" spans="1:17" ht="16.5" hidden="1">
      <c r="A155" s="48" t="s">
        <v>112</v>
      </c>
      <c r="B155" s="26"/>
      <c r="C155" s="27"/>
      <c r="D155" s="28"/>
      <c r="E155" s="54"/>
      <c r="F155" s="28"/>
      <c r="G155" s="49"/>
      <c r="H155" s="28"/>
      <c r="I155" s="22">
        <f aca="true" t="shared" si="28" ref="I155:I165">J155+M155</f>
        <v>0</v>
      </c>
      <c r="J155" s="28"/>
      <c r="K155" s="28"/>
      <c r="L155" s="28"/>
      <c r="M155" s="22">
        <f aca="true" t="shared" si="29" ref="M155:M165">N155</f>
        <v>0</v>
      </c>
      <c r="N155" s="28"/>
      <c r="O155" s="29"/>
      <c r="P155" s="24">
        <f>D155+I155</f>
        <v>0</v>
      </c>
      <c r="Q155" s="5"/>
    </row>
    <row r="156" spans="1:17" ht="14.25" customHeight="1" hidden="1">
      <c r="A156" s="48" t="s">
        <v>113</v>
      </c>
      <c r="B156" s="26"/>
      <c r="C156" s="27"/>
      <c r="D156" s="28"/>
      <c r="E156" s="28"/>
      <c r="F156" s="28"/>
      <c r="G156" s="28"/>
      <c r="H156" s="28"/>
      <c r="I156" s="22">
        <f t="shared" si="28"/>
        <v>0</v>
      </c>
      <c r="J156" s="28"/>
      <c r="K156" s="28"/>
      <c r="L156" s="28"/>
      <c r="M156" s="22">
        <f t="shared" si="29"/>
        <v>0</v>
      </c>
      <c r="N156" s="28"/>
      <c r="O156" s="29"/>
      <c r="P156" s="24">
        <f aca="true" t="shared" si="30" ref="P156:P165">D156+I156</f>
        <v>0</v>
      </c>
      <c r="Q156" s="5"/>
    </row>
    <row r="157" spans="1:17" ht="16.5" hidden="1">
      <c r="A157" s="48" t="s">
        <v>114</v>
      </c>
      <c r="B157" s="26"/>
      <c r="C157" s="27"/>
      <c r="D157" s="28">
        <v>0</v>
      </c>
      <c r="E157" s="28">
        <v>0</v>
      </c>
      <c r="F157" s="28"/>
      <c r="G157" s="28"/>
      <c r="H157" s="28"/>
      <c r="I157" s="22">
        <f t="shared" si="28"/>
        <v>0</v>
      </c>
      <c r="J157" s="28"/>
      <c r="K157" s="28"/>
      <c r="L157" s="28"/>
      <c r="M157" s="22">
        <v>0</v>
      </c>
      <c r="N157" s="28">
        <v>0</v>
      </c>
      <c r="O157" s="29"/>
      <c r="P157" s="24">
        <f t="shared" si="30"/>
        <v>0</v>
      </c>
      <c r="Q157" s="5"/>
    </row>
    <row r="158" spans="1:17" ht="16.5" hidden="1">
      <c r="A158" s="48" t="s">
        <v>115</v>
      </c>
      <c r="B158" s="26"/>
      <c r="C158" s="27"/>
      <c r="D158" s="28"/>
      <c r="E158" s="28"/>
      <c r="F158" s="28"/>
      <c r="G158" s="28"/>
      <c r="H158" s="28"/>
      <c r="I158" s="22">
        <f t="shared" si="28"/>
        <v>0</v>
      </c>
      <c r="J158" s="28"/>
      <c r="K158" s="28"/>
      <c r="L158" s="28"/>
      <c r="M158" s="22">
        <f t="shared" si="29"/>
        <v>0</v>
      </c>
      <c r="N158" s="28"/>
      <c r="O158" s="29"/>
      <c r="P158" s="24">
        <f t="shared" si="30"/>
        <v>0</v>
      </c>
      <c r="Q158" s="5"/>
    </row>
    <row r="159" spans="1:17" ht="16.5" hidden="1">
      <c r="A159" s="48" t="s">
        <v>116</v>
      </c>
      <c r="B159" s="26"/>
      <c r="C159" s="27"/>
      <c r="D159" s="28"/>
      <c r="E159" s="28"/>
      <c r="F159" s="28"/>
      <c r="G159" s="49"/>
      <c r="H159" s="28"/>
      <c r="I159" s="22">
        <f t="shared" si="28"/>
        <v>0</v>
      </c>
      <c r="J159" s="28"/>
      <c r="K159" s="28"/>
      <c r="L159" s="28"/>
      <c r="M159" s="22">
        <f t="shared" si="29"/>
        <v>0</v>
      </c>
      <c r="N159" s="28"/>
      <c r="O159" s="29"/>
      <c r="P159" s="24">
        <f t="shared" si="30"/>
        <v>0</v>
      </c>
      <c r="Q159" s="5"/>
    </row>
    <row r="160" spans="1:17" ht="16.5" hidden="1">
      <c r="A160" s="48" t="s">
        <v>117</v>
      </c>
      <c r="B160" s="26"/>
      <c r="C160" s="27"/>
      <c r="D160" s="28"/>
      <c r="E160" s="28"/>
      <c r="F160" s="28"/>
      <c r="G160" s="28"/>
      <c r="H160" s="28"/>
      <c r="I160" s="22">
        <f t="shared" si="28"/>
        <v>0</v>
      </c>
      <c r="J160" s="28"/>
      <c r="K160" s="28"/>
      <c r="L160" s="28"/>
      <c r="M160" s="22">
        <f t="shared" si="29"/>
        <v>0</v>
      </c>
      <c r="N160" s="28"/>
      <c r="O160" s="29"/>
      <c r="P160" s="24">
        <f t="shared" si="30"/>
        <v>0</v>
      </c>
      <c r="Q160" s="5"/>
    </row>
    <row r="161" spans="1:17" ht="16.5" hidden="1">
      <c r="A161" s="48" t="s">
        <v>118</v>
      </c>
      <c r="B161" s="26"/>
      <c r="C161" s="27"/>
      <c r="D161" s="28"/>
      <c r="E161" s="28"/>
      <c r="F161" s="28"/>
      <c r="G161" s="49"/>
      <c r="H161" s="28"/>
      <c r="I161" s="22">
        <f t="shared" si="28"/>
        <v>0</v>
      </c>
      <c r="J161" s="28"/>
      <c r="K161" s="28"/>
      <c r="L161" s="28"/>
      <c r="M161" s="22">
        <f t="shared" si="29"/>
        <v>0</v>
      </c>
      <c r="N161" s="28"/>
      <c r="O161" s="29"/>
      <c r="P161" s="24">
        <f t="shared" si="30"/>
        <v>0</v>
      </c>
      <c r="Q161" s="5"/>
    </row>
    <row r="162" spans="1:17" ht="16.5" hidden="1">
      <c r="A162" s="48" t="s">
        <v>119</v>
      </c>
      <c r="B162" s="26"/>
      <c r="C162" s="27"/>
      <c r="D162" s="28"/>
      <c r="E162" s="28"/>
      <c r="F162" s="28"/>
      <c r="G162" s="49"/>
      <c r="H162" s="28"/>
      <c r="I162" s="22">
        <f t="shared" si="28"/>
        <v>0</v>
      </c>
      <c r="J162" s="28"/>
      <c r="K162" s="28"/>
      <c r="L162" s="28"/>
      <c r="M162" s="22">
        <f t="shared" si="29"/>
        <v>0</v>
      </c>
      <c r="N162" s="28"/>
      <c r="O162" s="29"/>
      <c r="P162" s="24">
        <f t="shared" si="30"/>
        <v>0</v>
      </c>
      <c r="Q162" s="5"/>
    </row>
    <row r="163" spans="1:17" ht="16.5" hidden="1">
      <c r="A163" s="48" t="s">
        <v>120</v>
      </c>
      <c r="B163" s="26"/>
      <c r="C163" s="27"/>
      <c r="D163" s="28"/>
      <c r="E163" s="28"/>
      <c r="F163" s="28"/>
      <c r="G163" s="49"/>
      <c r="H163" s="28"/>
      <c r="I163" s="22">
        <f t="shared" si="28"/>
        <v>0</v>
      </c>
      <c r="J163" s="28"/>
      <c r="K163" s="28"/>
      <c r="L163" s="28"/>
      <c r="M163" s="22">
        <f t="shared" si="29"/>
        <v>0</v>
      </c>
      <c r="N163" s="28"/>
      <c r="O163" s="29"/>
      <c r="P163" s="24">
        <f t="shared" si="30"/>
        <v>0</v>
      </c>
      <c r="Q163" s="5"/>
    </row>
    <row r="164" spans="1:17" ht="16.5" hidden="1">
      <c r="A164" s="48" t="s">
        <v>121</v>
      </c>
      <c r="B164" s="26"/>
      <c r="C164" s="27"/>
      <c r="D164" s="28"/>
      <c r="E164" s="28"/>
      <c r="F164" s="28"/>
      <c r="G164" s="28"/>
      <c r="H164" s="28"/>
      <c r="I164" s="22">
        <f t="shared" si="28"/>
        <v>0</v>
      </c>
      <c r="J164" s="28"/>
      <c r="K164" s="28"/>
      <c r="L164" s="28"/>
      <c r="M164" s="22">
        <f t="shared" si="29"/>
        <v>0</v>
      </c>
      <c r="N164" s="28"/>
      <c r="O164" s="29"/>
      <c r="P164" s="24">
        <f t="shared" si="30"/>
        <v>0</v>
      </c>
      <c r="Q164" s="5"/>
    </row>
    <row r="165" spans="1:17" ht="15.75" customHeight="1" hidden="1">
      <c r="A165" s="48" t="s">
        <v>122</v>
      </c>
      <c r="B165" s="26"/>
      <c r="C165" s="27"/>
      <c r="D165" s="28"/>
      <c r="E165" s="28"/>
      <c r="F165" s="28"/>
      <c r="G165" s="49"/>
      <c r="H165" s="28"/>
      <c r="I165" s="22">
        <f t="shared" si="28"/>
        <v>0</v>
      </c>
      <c r="J165" s="28"/>
      <c r="K165" s="28"/>
      <c r="L165" s="28"/>
      <c r="M165" s="22">
        <f t="shared" si="29"/>
        <v>0</v>
      </c>
      <c r="N165" s="28"/>
      <c r="O165" s="29"/>
      <c r="P165" s="24">
        <f t="shared" si="30"/>
        <v>0</v>
      </c>
      <c r="Q165" s="5"/>
    </row>
    <row r="166" spans="1:17" ht="9.75" customHeight="1" hidden="1">
      <c r="A166" s="77"/>
      <c r="B166" s="61"/>
      <c r="C166" s="62"/>
      <c r="D166" s="64"/>
      <c r="E166" s="64"/>
      <c r="F166" s="64"/>
      <c r="G166" s="1"/>
      <c r="H166" s="64"/>
      <c r="I166" s="64"/>
      <c r="J166" s="64"/>
      <c r="K166" s="64"/>
      <c r="L166" s="64"/>
      <c r="M166" s="64"/>
      <c r="N166" s="64"/>
      <c r="O166" s="64"/>
      <c r="P166" s="64"/>
      <c r="Q166" s="5"/>
    </row>
    <row r="167" spans="1:17" ht="17.25" customHeight="1" thickBot="1">
      <c r="A167" s="78"/>
      <c r="B167" s="79"/>
      <c r="C167" s="80" t="s">
        <v>137</v>
      </c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18"/>
    </row>
    <row r="168" spans="1:17" ht="16.5" hidden="1">
      <c r="A168" s="81"/>
      <c r="B168" s="82"/>
      <c r="C168" s="83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18"/>
    </row>
    <row r="169" spans="1:17" ht="16.5">
      <c r="A169" s="81"/>
      <c r="B169" s="82"/>
      <c r="C169" s="83"/>
      <c r="D169" s="84"/>
      <c r="E169" s="113"/>
      <c r="F169" s="18"/>
      <c r="G169" s="18"/>
      <c r="H169" s="84"/>
      <c r="I169" s="84"/>
      <c r="J169" s="84"/>
      <c r="K169" s="84"/>
      <c r="L169" s="84"/>
      <c r="M169" s="84"/>
      <c r="N169" s="84"/>
      <c r="O169" s="84"/>
      <c r="P169" s="84"/>
      <c r="Q169" s="18"/>
    </row>
    <row r="170" spans="1:19" ht="16.5">
      <c r="A170" s="85" t="s">
        <v>138</v>
      </c>
      <c r="B170" s="1"/>
      <c r="C170" s="2"/>
      <c r="D170" s="92"/>
      <c r="E170" s="114"/>
      <c r="F170" s="85"/>
      <c r="G170" s="87"/>
      <c r="H170" s="85"/>
      <c r="I170" s="85"/>
      <c r="J170" s="85"/>
      <c r="K170" s="85"/>
      <c r="L170" s="85"/>
      <c r="M170" s="85"/>
      <c r="N170" s="85" t="s">
        <v>139</v>
      </c>
      <c r="O170" s="85"/>
      <c r="P170" s="85"/>
      <c r="Q170" s="5"/>
      <c r="S170" s="123"/>
    </row>
    <row r="171" spans="1:17" ht="16.5">
      <c r="A171" s="85"/>
      <c r="B171" s="1"/>
      <c r="C171" s="2"/>
      <c r="D171" s="85"/>
      <c r="E171" s="93"/>
      <c r="F171" s="86"/>
      <c r="G171" s="87"/>
      <c r="H171" s="85"/>
      <c r="I171" s="85"/>
      <c r="J171" s="86"/>
      <c r="K171" s="85"/>
      <c r="L171" s="85"/>
      <c r="M171" s="86"/>
      <c r="N171" s="86"/>
      <c r="O171" s="85"/>
      <c r="P171" s="85"/>
      <c r="Q171" s="5"/>
    </row>
    <row r="172" spans="1:17" ht="16.5">
      <c r="A172" s="85"/>
      <c r="B172" s="1"/>
      <c r="C172" s="2"/>
      <c r="D172" s="92"/>
      <c r="E172" s="86"/>
      <c r="F172" s="86"/>
      <c r="G172" s="116"/>
      <c r="H172" s="85"/>
      <c r="I172" s="85"/>
      <c r="J172" s="86"/>
      <c r="K172" s="85"/>
      <c r="L172" s="85"/>
      <c r="M172" s="86"/>
      <c r="N172" s="86"/>
      <c r="O172" s="85"/>
      <c r="P172" s="85"/>
      <c r="Q172" s="5"/>
    </row>
    <row r="173" spans="1:17" ht="16.5">
      <c r="A173" s="85"/>
      <c r="B173" s="1"/>
      <c r="C173" s="2"/>
      <c r="D173" s="85"/>
      <c r="E173" s="86"/>
      <c r="F173" s="86"/>
      <c r="G173" s="87"/>
      <c r="H173" s="85"/>
      <c r="I173" s="85"/>
      <c r="J173" s="86"/>
      <c r="K173" s="85"/>
      <c r="L173" s="85"/>
      <c r="M173" s="86"/>
      <c r="N173" s="86"/>
      <c r="O173" s="85"/>
      <c r="P173" s="85"/>
      <c r="Q173" s="5"/>
    </row>
    <row r="174" spans="1:17" ht="16.5">
      <c r="A174" s="85"/>
      <c r="B174" s="1"/>
      <c r="C174" s="118"/>
      <c r="D174" s="92"/>
      <c r="E174" s="86"/>
      <c r="F174" s="86"/>
      <c r="G174" s="87"/>
      <c r="H174" s="85"/>
      <c r="I174" s="85"/>
      <c r="J174" s="86"/>
      <c r="K174" s="85"/>
      <c r="L174" s="85"/>
      <c r="M174" s="86"/>
      <c r="N174" s="86"/>
      <c r="O174" s="85"/>
      <c r="P174" s="85"/>
      <c r="Q174" s="5"/>
    </row>
    <row r="175" spans="1:17" ht="16.5">
      <c r="A175" s="85"/>
      <c r="B175" s="1"/>
      <c r="C175" s="2"/>
      <c r="D175" s="85"/>
      <c r="E175" s="86"/>
      <c r="F175" s="86"/>
      <c r="G175" s="87"/>
      <c r="H175" s="85"/>
      <c r="I175" s="85"/>
      <c r="J175" s="86"/>
      <c r="K175" s="85"/>
      <c r="L175" s="85"/>
      <c r="M175" s="86"/>
      <c r="N175" s="86"/>
      <c r="O175" s="85"/>
      <c r="P175" s="85"/>
      <c r="Q175" s="5"/>
    </row>
    <row r="176" spans="1:17" ht="16.5">
      <c r="A176" s="85"/>
      <c r="B176" s="1"/>
      <c r="C176" s="2"/>
      <c r="D176" s="85"/>
      <c r="E176" s="86"/>
      <c r="F176" s="86"/>
      <c r="G176" s="87"/>
      <c r="H176" s="85"/>
      <c r="I176" s="85"/>
      <c r="J176" s="86"/>
      <c r="K176" s="85"/>
      <c r="L176" s="85"/>
      <c r="M176" s="86"/>
      <c r="N176" s="86"/>
      <c r="O176" s="85"/>
      <c r="P176" s="85"/>
      <c r="Q176" s="5"/>
    </row>
    <row r="177" spans="1:17" ht="16.5">
      <c r="A177" s="85"/>
      <c r="B177" s="1"/>
      <c r="C177" s="2"/>
      <c r="D177" s="85"/>
      <c r="E177" s="86"/>
      <c r="F177" s="86"/>
      <c r="G177" s="87"/>
      <c r="H177" s="85"/>
      <c r="I177" s="85"/>
      <c r="J177" s="86"/>
      <c r="K177" s="85"/>
      <c r="L177" s="85"/>
      <c r="M177" s="86"/>
      <c r="N177" s="86"/>
      <c r="O177" s="85"/>
      <c r="P177" s="85"/>
      <c r="Q177" s="5"/>
    </row>
    <row r="178" spans="1:17" ht="16.5">
      <c r="A178" s="85"/>
      <c r="B178" s="1"/>
      <c r="C178" s="2"/>
      <c r="D178" s="85"/>
      <c r="E178" s="86"/>
      <c r="F178" s="86"/>
      <c r="G178" s="87"/>
      <c r="H178" s="85"/>
      <c r="I178" s="85"/>
      <c r="J178" s="86"/>
      <c r="K178" s="85"/>
      <c r="L178" s="85"/>
      <c r="M178" s="86"/>
      <c r="N178" s="86"/>
      <c r="O178" s="85"/>
      <c r="P178" s="85"/>
      <c r="Q178" s="5"/>
    </row>
    <row r="179" spans="1:17" ht="16.5">
      <c r="A179" s="85"/>
      <c r="B179" s="1"/>
      <c r="C179" s="2"/>
      <c r="D179" s="85"/>
      <c r="E179" s="86"/>
      <c r="F179" s="86"/>
      <c r="G179" s="87"/>
      <c r="H179" s="117"/>
      <c r="I179" s="85"/>
      <c r="J179" s="86"/>
      <c r="K179" s="85"/>
      <c r="L179" s="85"/>
      <c r="M179" s="86"/>
      <c r="N179" s="86"/>
      <c r="O179" s="85"/>
      <c r="P179" s="85"/>
      <c r="Q179" s="5"/>
    </row>
    <row r="180" spans="1:17" ht="16.5">
      <c r="A180" s="85"/>
      <c r="B180" s="1"/>
      <c r="C180" s="2"/>
      <c r="D180" s="85"/>
      <c r="E180" s="86"/>
      <c r="F180" s="86"/>
      <c r="G180" s="87"/>
      <c r="H180" s="85"/>
      <c r="I180" s="85"/>
      <c r="J180" s="86"/>
      <c r="K180" s="85"/>
      <c r="L180" s="85"/>
      <c r="M180" s="86"/>
      <c r="N180" s="86"/>
      <c r="O180" s="85"/>
      <c r="P180" s="85"/>
      <c r="Q180" s="5"/>
    </row>
    <row r="181" spans="1:17" ht="16.5">
      <c r="A181" s="85"/>
      <c r="B181" s="1"/>
      <c r="C181" s="2"/>
      <c r="D181" s="85"/>
      <c r="E181" s="86"/>
      <c r="F181" s="86"/>
      <c r="G181" s="87"/>
      <c r="H181" s="85"/>
      <c r="I181" s="85"/>
      <c r="J181" s="86"/>
      <c r="K181" s="85"/>
      <c r="L181" s="85"/>
      <c r="M181" s="86"/>
      <c r="N181" s="86"/>
      <c r="O181" s="85"/>
      <c r="P181" s="85"/>
      <c r="Q181" s="5"/>
    </row>
    <row r="182" spans="1:17" ht="16.5">
      <c r="A182" s="85"/>
      <c r="B182" s="1"/>
      <c r="C182" s="2"/>
      <c r="D182" s="85"/>
      <c r="E182" s="86"/>
      <c r="F182" s="86"/>
      <c r="G182" s="87"/>
      <c r="H182" s="85"/>
      <c r="I182" s="85"/>
      <c r="J182" s="86"/>
      <c r="K182" s="85"/>
      <c r="L182" s="85"/>
      <c r="M182" s="86"/>
      <c r="N182" s="86"/>
      <c r="O182" s="85"/>
      <c r="P182" s="85"/>
      <c r="Q182" s="5"/>
    </row>
    <row r="183" spans="1:17" ht="16.5">
      <c r="A183" s="85"/>
      <c r="B183" s="1"/>
      <c r="C183" s="2"/>
      <c r="D183" s="85"/>
      <c r="E183" s="86"/>
      <c r="F183" s="86"/>
      <c r="G183" s="87"/>
      <c r="H183" s="85"/>
      <c r="I183" s="85"/>
      <c r="J183" s="86"/>
      <c r="K183" s="85"/>
      <c r="L183" s="85"/>
      <c r="M183" s="86"/>
      <c r="N183" s="86"/>
      <c r="O183" s="85"/>
      <c r="P183" s="85"/>
      <c r="Q183" s="5"/>
    </row>
    <row r="184" spans="1:17" ht="16.5">
      <c r="A184" s="85"/>
      <c r="B184" s="1"/>
      <c r="C184" s="2"/>
      <c r="D184" s="85"/>
      <c r="E184" s="86"/>
      <c r="F184" s="86"/>
      <c r="G184" s="87"/>
      <c r="H184" s="85"/>
      <c r="I184" s="85"/>
      <c r="J184" s="86"/>
      <c r="K184" s="85"/>
      <c r="L184" s="85"/>
      <c r="M184" s="86"/>
      <c r="N184" s="86"/>
      <c r="O184" s="85"/>
      <c r="P184" s="85"/>
      <c r="Q184" s="5"/>
    </row>
    <row r="185" spans="1:17" ht="16.5">
      <c r="A185" s="85"/>
      <c r="B185" s="1"/>
      <c r="C185" s="2"/>
      <c r="D185" s="85"/>
      <c r="E185" s="86"/>
      <c r="F185" s="86"/>
      <c r="G185" s="87"/>
      <c r="H185" s="85"/>
      <c r="I185" s="85"/>
      <c r="J185" s="86"/>
      <c r="K185" s="85"/>
      <c r="L185" s="85"/>
      <c r="M185" s="86"/>
      <c r="N185" s="86"/>
      <c r="O185" s="85"/>
      <c r="P185" s="85"/>
      <c r="Q185" s="5"/>
    </row>
    <row r="186" spans="1:17" ht="16.5">
      <c r="A186" s="85"/>
      <c r="B186" s="1"/>
      <c r="C186" s="2"/>
      <c r="D186" s="85"/>
      <c r="E186" s="86"/>
      <c r="F186" s="86"/>
      <c r="G186" s="87"/>
      <c r="H186" s="85"/>
      <c r="I186" s="85"/>
      <c r="J186" s="86"/>
      <c r="K186" s="85"/>
      <c r="L186" s="85"/>
      <c r="M186" s="86"/>
      <c r="N186" s="86"/>
      <c r="O186" s="85"/>
      <c r="P186" s="85"/>
      <c r="Q186" s="5"/>
    </row>
    <row r="187" spans="1:17" ht="16.5">
      <c r="A187" s="85"/>
      <c r="B187" s="1"/>
      <c r="C187" s="2"/>
      <c r="D187" s="85"/>
      <c r="E187" s="86"/>
      <c r="F187" s="86"/>
      <c r="G187" s="87"/>
      <c r="H187" s="85"/>
      <c r="I187" s="85"/>
      <c r="J187" s="86"/>
      <c r="K187" s="85"/>
      <c r="L187" s="85"/>
      <c r="M187" s="86"/>
      <c r="N187" s="86"/>
      <c r="O187" s="85"/>
      <c r="P187" s="85"/>
      <c r="Q187" s="5"/>
    </row>
    <row r="188" spans="1:17" ht="16.5">
      <c r="A188" s="85"/>
      <c r="B188" s="1"/>
      <c r="C188" s="2"/>
      <c r="D188" s="85"/>
      <c r="E188" s="86"/>
      <c r="F188" s="86"/>
      <c r="G188" s="87"/>
      <c r="H188" s="85"/>
      <c r="I188" s="85"/>
      <c r="J188" s="86"/>
      <c r="K188" s="85"/>
      <c r="L188" s="85"/>
      <c r="M188" s="86"/>
      <c r="N188" s="86"/>
      <c r="O188" s="85"/>
      <c r="P188" s="85"/>
      <c r="Q188" s="5"/>
    </row>
    <row r="189" spans="1:17" ht="16.5">
      <c r="A189" s="85"/>
      <c r="B189" s="1"/>
      <c r="C189" s="2"/>
      <c r="D189" s="85"/>
      <c r="E189" s="86"/>
      <c r="F189" s="86"/>
      <c r="G189" s="87"/>
      <c r="H189" s="85"/>
      <c r="I189" s="85"/>
      <c r="J189" s="86"/>
      <c r="K189" s="85"/>
      <c r="L189" s="85"/>
      <c r="M189" s="86"/>
      <c r="N189" s="86"/>
      <c r="O189" s="85"/>
      <c r="P189" s="85"/>
      <c r="Q189" s="5"/>
    </row>
    <row r="190" spans="1:17" ht="16.5">
      <c r="A190" s="85"/>
      <c r="B190" s="1"/>
      <c r="C190" s="2"/>
      <c r="D190" s="85"/>
      <c r="E190" s="86"/>
      <c r="F190" s="86"/>
      <c r="G190" s="87"/>
      <c r="H190" s="85"/>
      <c r="I190" s="85"/>
      <c r="J190" s="86"/>
      <c r="K190" s="85"/>
      <c r="L190" s="85"/>
      <c r="M190" s="86"/>
      <c r="N190" s="86"/>
      <c r="O190" s="85"/>
      <c r="P190" s="85"/>
      <c r="Q190" s="5"/>
    </row>
    <row r="191" spans="1:17" ht="16.5">
      <c r="A191" s="85"/>
      <c r="B191" s="1"/>
      <c r="C191" s="2"/>
      <c r="D191" s="85"/>
      <c r="E191" s="86"/>
      <c r="F191" s="86"/>
      <c r="G191" s="87"/>
      <c r="H191" s="85"/>
      <c r="I191" s="85"/>
      <c r="J191" s="86"/>
      <c r="K191" s="85"/>
      <c r="L191" s="85"/>
      <c r="M191" s="86"/>
      <c r="N191" s="86"/>
      <c r="O191" s="85"/>
      <c r="P191" s="85"/>
      <c r="Q191" s="5"/>
    </row>
    <row r="192" spans="1:17" ht="16.5">
      <c r="A192" s="85"/>
      <c r="B192" s="1"/>
      <c r="C192" s="2"/>
      <c r="D192" s="85"/>
      <c r="E192" s="86"/>
      <c r="F192" s="86"/>
      <c r="G192" s="87"/>
      <c r="H192" s="85"/>
      <c r="I192" s="85"/>
      <c r="J192" s="86"/>
      <c r="K192" s="85"/>
      <c r="L192" s="85"/>
      <c r="M192" s="86"/>
      <c r="N192" s="86"/>
      <c r="O192" s="85"/>
      <c r="P192" s="85"/>
      <c r="Q192" s="5"/>
    </row>
    <row r="193" spans="1:17" ht="16.5">
      <c r="A193" s="85"/>
      <c r="B193" s="1"/>
      <c r="C193" s="2"/>
      <c r="D193" s="85"/>
      <c r="E193" s="86"/>
      <c r="F193" s="86"/>
      <c r="G193" s="87"/>
      <c r="H193" s="85"/>
      <c r="I193" s="85"/>
      <c r="J193" s="86"/>
      <c r="K193" s="85"/>
      <c r="L193" s="85"/>
      <c r="M193" s="86"/>
      <c r="N193" s="86"/>
      <c r="O193" s="85"/>
      <c r="P193" s="85"/>
      <c r="Q193" s="5"/>
    </row>
    <row r="194" spans="1:17" ht="16.5">
      <c r="A194" s="85"/>
      <c r="B194" s="1"/>
      <c r="C194" s="2"/>
      <c r="D194" s="85"/>
      <c r="E194" s="86"/>
      <c r="F194" s="86"/>
      <c r="G194" s="87"/>
      <c r="H194" s="85"/>
      <c r="I194" s="85"/>
      <c r="J194" s="86"/>
      <c r="K194" s="85"/>
      <c r="L194" s="85"/>
      <c r="M194" s="86"/>
      <c r="N194" s="86"/>
      <c r="O194" s="85"/>
      <c r="P194" s="85"/>
      <c r="Q194" s="5"/>
    </row>
    <row r="195" spans="1:17" ht="16.5">
      <c r="A195" s="85"/>
      <c r="B195" s="1"/>
      <c r="C195" s="2"/>
      <c r="D195" s="85"/>
      <c r="E195" s="86"/>
      <c r="F195" s="86"/>
      <c r="G195" s="87"/>
      <c r="H195" s="85"/>
      <c r="I195" s="85"/>
      <c r="J195" s="86"/>
      <c r="K195" s="85"/>
      <c r="L195" s="85"/>
      <c r="M195" s="86"/>
      <c r="N195" s="86"/>
      <c r="O195" s="85"/>
      <c r="P195" s="85"/>
      <c r="Q195" s="5"/>
    </row>
    <row r="196" spans="1:17" ht="16.5">
      <c r="A196" s="85"/>
      <c r="B196" s="1"/>
      <c r="C196" s="2"/>
      <c r="D196" s="85"/>
      <c r="E196" s="86"/>
      <c r="F196" s="86"/>
      <c r="G196" s="87"/>
      <c r="H196" s="85"/>
      <c r="I196" s="85"/>
      <c r="J196" s="86"/>
      <c r="K196" s="85"/>
      <c r="L196" s="85"/>
      <c r="M196" s="86"/>
      <c r="N196" s="86"/>
      <c r="O196" s="85"/>
      <c r="P196" s="85"/>
      <c r="Q196" s="5"/>
    </row>
    <row r="197" spans="1:17" ht="16.5">
      <c r="A197" s="85"/>
      <c r="B197" s="1"/>
      <c r="C197" s="2"/>
      <c r="D197" s="85"/>
      <c r="E197" s="86"/>
      <c r="F197" s="86"/>
      <c r="G197" s="87"/>
      <c r="H197" s="85"/>
      <c r="I197" s="85"/>
      <c r="J197" s="86"/>
      <c r="K197" s="85"/>
      <c r="L197" s="85"/>
      <c r="M197" s="86"/>
      <c r="N197" s="86"/>
      <c r="O197" s="85"/>
      <c r="P197" s="85"/>
      <c r="Q197" s="5"/>
    </row>
    <row r="198" spans="1:17" ht="16.5">
      <c r="A198" s="85"/>
      <c r="B198" s="1"/>
      <c r="C198" s="2"/>
      <c r="D198" s="85"/>
      <c r="E198" s="86"/>
      <c r="F198" s="86"/>
      <c r="G198" s="87"/>
      <c r="H198" s="85"/>
      <c r="I198" s="85"/>
      <c r="J198" s="86"/>
      <c r="K198" s="85"/>
      <c r="L198" s="85"/>
      <c r="M198" s="86"/>
      <c r="N198" s="86"/>
      <c r="O198" s="85"/>
      <c r="P198" s="85"/>
      <c r="Q198" s="5"/>
    </row>
    <row r="199" spans="1:17" ht="16.5">
      <c r="A199" s="85"/>
      <c r="B199" s="1"/>
      <c r="C199" s="2"/>
      <c r="D199" s="85"/>
      <c r="E199" s="86"/>
      <c r="F199" s="86"/>
      <c r="G199" s="87"/>
      <c r="H199" s="85"/>
      <c r="I199" s="85"/>
      <c r="J199" s="86"/>
      <c r="K199" s="85"/>
      <c r="L199" s="85"/>
      <c r="M199" s="86"/>
      <c r="N199" s="86"/>
      <c r="O199" s="85"/>
      <c r="P199" s="85"/>
      <c r="Q199" s="5"/>
    </row>
    <row r="200" spans="1:17" ht="16.5">
      <c r="A200" s="85"/>
      <c r="B200" s="1"/>
      <c r="C200" s="2"/>
      <c r="D200" s="85"/>
      <c r="E200" s="86"/>
      <c r="F200" s="86"/>
      <c r="G200" s="87"/>
      <c r="H200" s="85"/>
      <c r="I200" s="85"/>
      <c r="J200" s="86"/>
      <c r="K200" s="85"/>
      <c r="L200" s="85"/>
      <c r="M200" s="86"/>
      <c r="N200" s="86"/>
      <c r="O200" s="85"/>
      <c r="P200" s="85"/>
      <c r="Q200" s="5"/>
    </row>
    <row r="201" spans="1:17" ht="16.5">
      <c r="A201" s="85"/>
      <c r="B201" s="1"/>
      <c r="C201" s="2"/>
      <c r="D201" s="85"/>
      <c r="E201" s="86"/>
      <c r="F201" s="86"/>
      <c r="G201" s="87"/>
      <c r="H201" s="85"/>
      <c r="I201" s="85"/>
      <c r="J201" s="86"/>
      <c r="K201" s="85"/>
      <c r="L201" s="85"/>
      <c r="M201" s="86"/>
      <c r="N201" s="86"/>
      <c r="O201" s="85"/>
      <c r="P201" s="85"/>
      <c r="Q201" s="5"/>
    </row>
    <row r="202" spans="1:17" ht="16.5">
      <c r="A202" s="85"/>
      <c r="B202" s="1"/>
      <c r="C202" s="2"/>
      <c r="D202" s="85"/>
      <c r="E202" s="86"/>
      <c r="F202" s="86"/>
      <c r="G202" s="87"/>
      <c r="H202" s="85"/>
      <c r="I202" s="85"/>
      <c r="J202" s="86"/>
      <c r="K202" s="85"/>
      <c r="L202" s="85"/>
      <c r="M202" s="86"/>
      <c r="N202" s="86"/>
      <c r="O202" s="85"/>
      <c r="P202" s="85"/>
      <c r="Q202" s="5"/>
    </row>
    <row r="203" spans="1:17" ht="16.5">
      <c r="A203" s="85"/>
      <c r="B203" s="1"/>
      <c r="C203" s="2"/>
      <c r="D203" s="85"/>
      <c r="E203" s="86"/>
      <c r="F203" s="86"/>
      <c r="G203" s="87"/>
      <c r="H203" s="85"/>
      <c r="I203" s="85"/>
      <c r="J203" s="86"/>
      <c r="K203" s="85"/>
      <c r="L203" s="85"/>
      <c r="M203" s="86"/>
      <c r="N203" s="86"/>
      <c r="O203" s="85"/>
      <c r="P203" s="85"/>
      <c r="Q203" s="5"/>
    </row>
    <row r="204" spans="1:17" ht="16.5">
      <c r="A204" s="85"/>
      <c r="B204" s="1"/>
      <c r="C204" s="2"/>
      <c r="D204" s="85"/>
      <c r="E204" s="86"/>
      <c r="F204" s="86"/>
      <c r="G204" s="87"/>
      <c r="H204" s="85"/>
      <c r="I204" s="85"/>
      <c r="J204" s="86"/>
      <c r="K204" s="85"/>
      <c r="L204" s="85"/>
      <c r="M204" s="86"/>
      <c r="N204" s="86"/>
      <c r="O204" s="85"/>
      <c r="P204" s="85"/>
      <c r="Q204" s="5"/>
    </row>
    <row r="205" spans="1:17" ht="16.5">
      <c r="A205" s="85"/>
      <c r="B205" s="1"/>
      <c r="C205" s="2"/>
      <c r="D205" s="85"/>
      <c r="E205" s="86"/>
      <c r="F205" s="86"/>
      <c r="G205" s="87"/>
      <c r="H205" s="85"/>
      <c r="I205" s="85"/>
      <c r="J205" s="86"/>
      <c r="K205" s="85"/>
      <c r="L205" s="85"/>
      <c r="M205" s="86"/>
      <c r="N205" s="86"/>
      <c r="O205" s="85"/>
      <c r="P205" s="85"/>
      <c r="Q205" s="5"/>
    </row>
    <row r="206" spans="1:17" ht="16.5">
      <c r="A206" s="85"/>
      <c r="B206" s="1"/>
      <c r="C206" s="2"/>
      <c r="D206" s="85"/>
      <c r="E206" s="86"/>
      <c r="F206" s="86"/>
      <c r="G206" s="87"/>
      <c r="H206" s="85"/>
      <c r="I206" s="85"/>
      <c r="J206" s="86"/>
      <c r="K206" s="85"/>
      <c r="L206" s="85"/>
      <c r="M206" s="86"/>
      <c r="N206" s="86"/>
      <c r="O206" s="85"/>
      <c r="P206" s="85"/>
      <c r="Q206" s="5"/>
    </row>
    <row r="207" spans="1:17" ht="16.5">
      <c r="A207" s="85"/>
      <c r="B207" s="1"/>
      <c r="C207" s="2"/>
      <c r="D207" s="85"/>
      <c r="E207" s="86"/>
      <c r="F207" s="86"/>
      <c r="G207" s="87"/>
      <c r="H207" s="85"/>
      <c r="I207" s="85"/>
      <c r="J207" s="86"/>
      <c r="K207" s="85"/>
      <c r="L207" s="85"/>
      <c r="M207" s="86"/>
      <c r="N207" s="86"/>
      <c r="O207" s="85"/>
      <c r="P207" s="85"/>
      <c r="Q207" s="5"/>
    </row>
    <row r="208" spans="1:17" ht="16.5">
      <c r="A208" s="85"/>
      <c r="B208" s="1"/>
      <c r="C208" s="2"/>
      <c r="D208" s="85"/>
      <c r="E208" s="86"/>
      <c r="F208" s="86"/>
      <c r="G208" s="87"/>
      <c r="H208" s="85"/>
      <c r="I208" s="85"/>
      <c r="J208" s="86"/>
      <c r="K208" s="85"/>
      <c r="L208" s="85"/>
      <c r="M208" s="86"/>
      <c r="N208" s="86"/>
      <c r="O208" s="85"/>
      <c r="P208" s="85"/>
      <c r="Q208" s="5"/>
    </row>
    <row r="209" spans="1:17" ht="16.5">
      <c r="A209" s="85"/>
      <c r="B209" s="1"/>
      <c r="C209" s="2"/>
      <c r="D209" s="85"/>
      <c r="E209" s="86"/>
      <c r="F209" s="86"/>
      <c r="G209" s="87"/>
      <c r="H209" s="85"/>
      <c r="I209" s="85"/>
      <c r="J209" s="86"/>
      <c r="K209" s="85"/>
      <c r="L209" s="85"/>
      <c r="M209" s="86"/>
      <c r="N209" s="86"/>
      <c r="O209" s="85"/>
      <c r="P209" s="85"/>
      <c r="Q209" s="5"/>
    </row>
    <row r="210" spans="1:17" ht="16.5">
      <c r="A210" s="85"/>
      <c r="B210" s="1"/>
      <c r="C210" s="2"/>
      <c r="D210" s="85"/>
      <c r="E210" s="86"/>
      <c r="F210" s="86"/>
      <c r="G210" s="87"/>
      <c r="H210" s="85"/>
      <c r="I210" s="85"/>
      <c r="J210" s="86"/>
      <c r="K210" s="85"/>
      <c r="L210" s="85"/>
      <c r="M210" s="86"/>
      <c r="N210" s="86"/>
      <c r="O210" s="85"/>
      <c r="P210" s="85"/>
      <c r="Q210" s="5"/>
    </row>
    <row r="221" ht="15.75">
      <c r="M221" s="89"/>
    </row>
  </sheetData>
  <sheetProtection/>
  <mergeCells count="23">
    <mergeCell ref="N11:N12"/>
    <mergeCell ref="I10:I12"/>
    <mergeCell ref="J10:J12"/>
    <mergeCell ref="K10:L10"/>
    <mergeCell ref="M10:M12"/>
    <mergeCell ref="K11:K12"/>
    <mergeCell ref="L11:L12"/>
    <mergeCell ref="D10:D12"/>
    <mergeCell ref="E10:E12"/>
    <mergeCell ref="F10:G10"/>
    <mergeCell ref="H10:H12"/>
    <mergeCell ref="F11:F12"/>
    <mergeCell ref="G11:G12"/>
    <mergeCell ref="L1:N1"/>
    <mergeCell ref="L2:N2"/>
    <mergeCell ref="A3:P3"/>
    <mergeCell ref="A5:A8"/>
    <mergeCell ref="B5:B12"/>
    <mergeCell ref="C5:C12"/>
    <mergeCell ref="D5:H9"/>
    <mergeCell ref="I5:O9"/>
    <mergeCell ref="P5:P12"/>
    <mergeCell ref="A9:A12"/>
  </mergeCells>
  <printOptions/>
  <pageMargins left="0.21" right="0.19" top="0.11" bottom="0.24" header="0.11" footer="0.16"/>
  <pageSetup fitToHeight="4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2018-12-21T14:19:07Z</cp:lastPrinted>
  <dcterms:created xsi:type="dcterms:W3CDTF">1996-10-08T23:32:33Z</dcterms:created>
  <dcterms:modified xsi:type="dcterms:W3CDTF">2018-12-21T14:19:42Z</dcterms:modified>
  <cp:category/>
  <cp:version/>
  <cp:contentType/>
  <cp:contentStatus/>
</cp:coreProperties>
</file>