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90" windowWidth="14500" windowHeight="9100" firstSheet="1" activeTab="3"/>
  </bookViews>
  <sheets>
    <sheet name="Додаток 1 джерела" sheetId="1" r:id="rId1"/>
    <sheet name="Дод 2 видатки" sheetId="2" r:id="rId2"/>
    <sheet name="дод 3 трансферти" sheetId="3" r:id="rId3"/>
    <sheet name="Дод.4 програма" sheetId="4" r:id="rId4"/>
    <sheet name="Лист5" sheetId="5" r:id="rId5"/>
    <sheet name="Лист7" sheetId="6" r:id="rId6"/>
    <sheet name="Лист8" sheetId="7" r:id="rId7"/>
  </sheets>
  <definedNames>
    <definedName name="_xlfn.AGGREGATE" hidden="1">#NAME?</definedName>
    <definedName name="_xlnm.Print_Titles" localSheetId="1">'Дод 2 видатки'!$6:$12</definedName>
    <definedName name="_xlnm.Print_Titles" localSheetId="3">'Дод.4 програма'!$3:$6</definedName>
    <definedName name="_xlnm.Print_Area" localSheetId="2">'дод 3 трансферти'!$A$1:$AC$24</definedName>
  </definedNames>
  <calcPr fullCalcOnLoad="1"/>
</workbook>
</file>

<file path=xl/sharedStrings.xml><?xml version="1.0" encoding="utf-8"?>
<sst xmlns="http://schemas.openxmlformats.org/spreadsheetml/2006/main" count="1552" uniqueCount="760">
  <si>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</si>
  <si>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</si>
  <si>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</si>
  <si>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</si>
  <si>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</si>
  <si>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</si>
  <si>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</si>
  <si>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</si>
  <si>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</si>
  <si>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</si>
  <si>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</si>
  <si>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</si>
  <si>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</si>
  <si>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</si>
  <si>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</si>
  <si>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</si>
  <si>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</si>
  <si>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</si>
  <si>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</si>
  <si>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</si>
  <si>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</si>
  <si>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</si>
  <si>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</si>
  <si>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</si>
  <si>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</si>
  <si>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</si>
  <si>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</si>
  <si>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</si>
  <si>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</si>
  <si>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</si>
  <si>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</si>
  <si>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</si>
  <si>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</si>
  <si>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</si>
  <si>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</si>
  <si>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</si>
  <si>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</si>
  <si>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</si>
  <si>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</si>
  <si>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</si>
  <si>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</si>
  <si>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</si>
  <si>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</si>
  <si>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</si>
  <si>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</si>
  <si>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</si>
  <si>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</si>
  <si>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</si>
  <si>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</si>
  <si>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</si>
  <si>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</si>
  <si>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</si>
  <si>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</si>
  <si>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</si>
  <si>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</si>
  <si>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</si>
  <si>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</si>
  <si>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</si>
  <si>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</si>
  <si>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</si>
  <si>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</si>
  <si>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</si>
  <si>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</si>
  <si>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</si>
  <si>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</si>
  <si>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</si>
  <si>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</si>
  <si>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</si>
  <si>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</si>
  <si>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</si>
  <si>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</si>
  <si>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</si>
  <si>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</si>
  <si>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</si>
  <si>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</si>
  <si>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</si>
  <si>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</si>
  <si>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</si>
  <si>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</si>
  <si>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</si>
  <si>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</si>
  <si>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</si>
  <si>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</si>
  <si>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</si>
  <si>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</si>
  <si>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</si>
  <si>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</si>
  <si>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</si>
  <si>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</si>
  <si>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</si>
  <si>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</si>
  <si>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</si>
  <si>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</si>
  <si>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</si>
  <si>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</si>
  <si>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</si>
  <si>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</si>
  <si>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</si>
  <si>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</si>
  <si>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</si>
  <si>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</si>
  <si>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</si>
  <si>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</si>
  <si>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</si>
  <si>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</si>
  <si>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</si>
  <si>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</si>
  <si>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</si>
  <si>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</si>
  <si>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Утримання та розвиток автомобільних доріг та дорожньої інфраструктури за рахунок коштів місцевоого бюджету</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</si>
  <si>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</si>
  <si>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</si>
  <si>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</si>
  <si>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</si>
  <si>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</si>
  <si>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</si>
  <si>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</si>
  <si>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</si>
  <si>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</si>
  <si>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</si>
  <si>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</si>
  <si>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</si>
  <si>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</si>
  <si>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</si>
  <si>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</si>
  <si>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</si>
  <si>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</si>
  <si>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</si>
  <si>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</si>
  <si>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</si>
  <si>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</si>
  <si>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комплексу "Таврія" с. Тополівка)</t>
  </si>
  <si>
    <t>х</t>
  </si>
  <si>
    <t>УСЬОГО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</si>
  <si>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</si>
  <si>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</si>
  <si>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Будівництво інших об'єктів  комунальної власності</t>
  </si>
  <si>
    <t>Відділ освіти Новокаховської міської ради</t>
  </si>
  <si>
    <t>Розподіл витрат міського бюджету на реалізацію міських програм у 2019 році</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</si>
  <si>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</si>
  <si>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</si>
  <si>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</si>
  <si>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</si>
  <si>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</si>
  <si>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</si>
  <si>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</si>
  <si>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</si>
  <si>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</si>
  <si>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</si>
  <si>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</si>
  <si>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</si>
  <si>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</si>
  <si>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</si>
  <si>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</si>
  <si>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</si>
  <si>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</si>
  <si>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</si>
  <si>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</si>
  <si>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</si>
  <si>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</si>
  <si>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Здійснення  заходів із землеустрою</t>
  </si>
  <si>
    <t>Програма розвитку земельних відносин на території міста Нова Каховка на 2017-2019 роки</t>
  </si>
  <si>
    <t>Програма підтримки комунального підприємства  "Агенція регіонального розвитку"  Новокаховської  міської ради на 2019-2021 роки</t>
  </si>
  <si>
    <t>Програма економічного, соціального та культурного розвитку міста Нова Каховка на 2019 рік</t>
  </si>
  <si>
    <t>Програми розвитку малого та середнього підприємництва в місті Нова Каховка на 2019-2021 роки</t>
  </si>
  <si>
    <t>Міська програма відшкодування вартості лікарських засобів на 2018-2023 роки</t>
  </si>
  <si>
    <t>Програма підтримки комунального підприємства "Центральна міська аптека Новокаховської міської ради" на 2019 рік</t>
  </si>
  <si>
    <t>Міська Програма "Нова Каховка - Безпечне  місто 2018-2020"</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</si>
  <si>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</si>
  <si>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</si>
  <si>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</si>
  <si>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Рішення Новокаховської міської ради від 21.12.2017 р. № 1126     (зі змінами)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</si>
  <si>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</si>
  <si>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</si>
  <si>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</si>
  <si>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</si>
  <si>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</si>
  <si>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</si>
  <si>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</si>
  <si>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</si>
  <si>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</si>
  <si>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</si>
  <si>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</si>
  <si>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</si>
  <si>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</si>
  <si>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</si>
  <si>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</si>
  <si>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</si>
  <si>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</si>
  <si>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</si>
  <si>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</si>
  <si>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</si>
  <si>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</si>
  <si>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Програма фінансової підтримки громадських об'єднань, які забезпечують громадський порядок на території Новокаховської міської ради у 2019 році</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</si>
  <si>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</si>
  <si>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</si>
  <si>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</si>
  <si>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</si>
  <si>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</si>
  <si>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</si>
  <si>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</si>
  <si>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</si>
  <si>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</si>
  <si>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</si>
  <si>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</si>
  <si>
    <t>Додаток 2
до рішення                       виконавчого комітету                      від 26.03.2019 року № 83</t>
  </si>
  <si>
    <t>Додаток 1
до рішення виконавчого комітету                                                   від 26.03.2019  року  № 83</t>
  </si>
  <si>
    <t xml:space="preserve">Додаток 4
до рішення                                     виконавчого комітету                                     від  26..03.2019 року № 83 </t>
  </si>
  <si>
    <t>від 26.03.2019 р. № 83</t>
  </si>
  <si>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</si>
  <si>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</si>
  <si>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</si>
  <si>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</si>
  <si>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</si>
  <si>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</si>
  <si>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</si>
  <si>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</si>
  <si>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</si>
  <si>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Управління містобудування та архітектури Новокаховської міської ради</t>
  </si>
  <si>
    <t>Програма фінансової підтримки комунального підприємства "АкваСпорт" Новокаховської міської ради на 2019 рік</t>
  </si>
  <si>
    <t>Програма територіальної оборони території Новокаховської міської ради на 2017-2019 роки</t>
  </si>
  <si>
    <t>Програма розвитку інфраструктури Дніпрянського старостинського округу Новокаховської міської ради на 2019-2021 роки</t>
  </si>
  <si>
    <t>Надання коштів для забезпечення гарантійних зобов'язань за позичальників, що отримали кредити під місцеві гарантії</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</si>
  <si>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</si>
  <si>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</si>
  <si>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</si>
  <si>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</si>
  <si>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</si>
  <si>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</si>
  <si>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</si>
  <si>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</si>
  <si>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</si>
  <si>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</si>
  <si>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</si>
  <si>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</si>
  <si>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</si>
  <si>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</si>
  <si>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</si>
  <si>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</si>
  <si>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</si>
  <si>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</si>
  <si>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</si>
  <si>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</si>
  <si>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</si>
  <si>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</si>
  <si>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</si>
  <si>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</si>
  <si>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</si>
  <si>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Рішення Новокаховської міської ради від 23.11.2017 р. № 1010 (зі змінами)</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</si>
  <si>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</si>
  <si>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№1625 (зі змінами)</t>
  </si>
  <si>
    <t>Код</t>
  </si>
  <si>
    <t>Загальний фонд</t>
  </si>
  <si>
    <t>Спеціальний фонд</t>
  </si>
  <si>
    <t>Усього</t>
  </si>
  <si>
    <t>усього</t>
  </si>
  <si>
    <t>у тому числі бюджет розвитку</t>
  </si>
  <si>
    <t>Таврійській міській раді на утримання та технічне обслуговування котелень, які знаходяться на балансі Таврійської міської ради</t>
  </si>
  <si>
    <t>субвенція за рахунок залишку</t>
  </si>
  <si>
    <t>0213210</t>
  </si>
  <si>
    <t>3210</t>
  </si>
  <si>
    <t>1050</t>
  </si>
  <si>
    <t xml:space="preserve">Організація та проведення громадських робіт </t>
  </si>
  <si>
    <t>Організація та проведення громадських робіт</t>
  </si>
  <si>
    <t xml:space="preserve">Програма щодо організації та проведення оплачувальних громадських рообіт для безробітних громадян в м. Нова Каховка на 2019 рік </t>
  </si>
  <si>
    <t>Рішення Новокаховської міської ради від 20.12.2018 р. №  1652</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</si>
  <si>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</si>
  <si>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</si>
  <si>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</si>
  <si>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</si>
  <si>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</si>
  <si>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</si>
  <si>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</si>
  <si>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</si>
  <si>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</si>
  <si>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</si>
  <si>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</si>
  <si>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</si>
  <si>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</si>
  <si>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</si>
  <si>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</si>
  <si>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</si>
  <si>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</si>
  <si>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</si>
  <si>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</si>
  <si>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</si>
  <si>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</si>
  <si>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на утримання та технічне обслуговування котелень, які знаходяться на балансі Таврійської міської ради</t>
  </si>
  <si>
    <t>будівництво спортивного комплексу "Таврія" с. Тополівка</t>
  </si>
  <si>
    <t>реконструкція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</si>
  <si>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</si>
  <si>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Разом</t>
  </si>
  <si>
    <t>цільові кошти для медичного обслуговування внутрішньопереміщених осіб</t>
  </si>
  <si>
    <t>4</t>
  </si>
  <si>
    <t>5</t>
  </si>
  <si>
    <t>6</t>
  </si>
  <si>
    <t>7</t>
  </si>
  <si>
    <t>8</t>
  </si>
  <si>
    <t>9</t>
  </si>
  <si>
    <t>10</t>
  </si>
  <si>
    <t>11</t>
  </si>
  <si>
    <t>12</t>
  </si>
  <si>
    <t>13</t>
  </si>
  <si>
    <t>14</t>
  </si>
  <si>
    <t>15</t>
  </si>
  <si>
    <t>Державний бюджет</t>
  </si>
  <si>
    <t>Обласний бюджет</t>
  </si>
  <si>
    <t>63379700</t>
  </si>
  <si>
    <t>1407100</t>
  </si>
  <si>
    <t>105770800</t>
  </si>
  <si>
    <t>518700</t>
  </si>
  <si>
    <t>459900</t>
  </si>
  <si>
    <t>132668</t>
  </si>
  <si>
    <t>Райський сільський бюджет</t>
  </si>
  <si>
    <t>Таврійський міський бюджет</t>
  </si>
  <si>
    <t>за рахунок залишку коштів освітньої субвенції, що утворився на початок бюджетного періоду</t>
  </si>
  <si>
    <t>на придбання обладнання для оснащення ресурсних кімнат (видатки розвитку)</t>
  </si>
  <si>
    <t>на закупівлю україномовних дидактичних матеріалів для закладів загальної середньої освіти з навчанням мовами національних меншин (видатки споживання)</t>
  </si>
  <si>
    <t>на оновлення матеріально-технічної бази</t>
  </si>
  <si>
    <t>Додаток 3</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</si>
  <si>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</si>
  <si>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 xml:space="preserve">на співфінансування робіт з поточного середнього ремонту проїзної частини по вулиці Затишній (окремими ділянками) в місті Нова Каховка Херсонської області </t>
  </si>
  <si>
    <t>на співфінансування робіт з капітального ремонту проїзної частини по вул. Дружби в м. Нова Каховка, Херсонської області (в межах вул. Новоселівська-вул. Рибальська)</t>
  </si>
  <si>
    <t>3719730</t>
  </si>
  <si>
    <t>9730</t>
  </si>
  <si>
    <t>0217363</t>
  </si>
  <si>
    <t>0611170</t>
  </si>
  <si>
    <t>1170</t>
  </si>
  <si>
    <t>Забезпечення діяльності інклюзивно-ресурсних центрів</t>
  </si>
  <si>
    <t>1717693</t>
  </si>
  <si>
    <t>Рішення Новокаховської міської ради від 20.12.2018 р. № 1622 (зі змінами)</t>
  </si>
  <si>
    <t>Рішення Новокаховської міської ради від 15.12.2016 р. № 583 (зі змінами)</t>
  </si>
  <si>
    <t>Рішення Новокаховської міської ради від 21.12.2017 р. № 1086        (зі змінами)</t>
  </si>
  <si>
    <t>Рішення Новокаховської міської ради від 20.12.2018 р. № 1625 (зі змінами)</t>
  </si>
  <si>
    <t>Рішення Новокаховської міської ради від 27.06.2014 р. № 1617 (зі змінами)</t>
  </si>
  <si>
    <t>Рішення Новокаховської міської ріди від 20.12.2018 р. № 1626 (зі змінами)</t>
  </si>
  <si>
    <t>Рішення Новокаховської міської ради від 15.12.2016 р. № 603 (зі змінами)</t>
  </si>
  <si>
    <t>Рішення Новокаховської міської ріди від 20.12.2018 р. № 1644</t>
  </si>
  <si>
    <t>Рішення Новокаховської міської ради від 20.12.2018 р. № 1643</t>
  </si>
  <si>
    <t>Рішення Новокаховської міської ріди від 20.12.2018 р. № 1623</t>
  </si>
  <si>
    <t>Рішення Новокаховської міської ради від 08.02.2018 р. № 1177 (зі змінами)</t>
  </si>
  <si>
    <t>Рішення Новокаховської міської ради від 20.12.2018 р. № 1636</t>
  </si>
  <si>
    <t>Рішення Новокаховської міської ради від 20.12.2018 р. № 1633</t>
  </si>
  <si>
    <t>Рішення Новокаховської міської ради від 21.12.2017 р. № 1096</t>
  </si>
  <si>
    <t>Рішення Новокаховської міської ради від 08.02.2018 р. № 1179</t>
  </si>
  <si>
    <t>Рішення Новокаховської міської ріди від 20.12.2018 р. № 1632</t>
  </si>
  <si>
    <t>Рішення Новокаховської міської ріди від 20.12.2018 р. № 1648</t>
  </si>
  <si>
    <t>Рішення Новокаховської міської ради від 20.12.2018 р. № 1645</t>
  </si>
  <si>
    <t>Рішення Новокаховської  міської ради від 13.07.2017 р. № 867 (зі змінами)</t>
  </si>
  <si>
    <t>Рішення Новокаховської міської ради від 20.12.2018 р. № 1657 (зі змінами)</t>
  </si>
  <si>
    <t>Перший заступник міського голови</t>
  </si>
  <si>
    <t>Л.Г.Чурсинов</t>
  </si>
  <si>
    <t xml:space="preserve">до рішення  </t>
  </si>
  <si>
    <t>виконавчого комітету</t>
  </si>
  <si>
    <t>Х</t>
  </si>
  <si>
    <t>Фінансування міського бюджету на 2019 рік</t>
  </si>
  <si>
    <t>(грн)</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</si>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</sst>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54">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b/>
      <sz val="14"/>
      <name val="Times New Roman"/>
      <family val="1"/>
    </font>
    <font>
      <sz val="12"/>
      <name val="Times New Roman"/>
      <family val="1"/>
    </font>
    <font>
      <sz val="14"/>
      <name val="Times New Roman"/>
      <family val="1"/>
    </font>
    <font>
      <b/>
      <sz val="12"/>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b/>
      <sz val="13"/>
      <name val="Times New Roman"/>
      <family val="1"/>
    </font>
    <font>
      <b/>
      <sz val="13"/>
      <color indexed="8"/>
      <name val="Times New Roman"/>
      <family val="1"/>
    </font>
    <font>
      <sz val="13"/>
      <name val="Times New Roman"/>
      <family val="1"/>
    </font>
    <font>
      <sz val="13"/>
      <color indexed="8"/>
      <name val="Times New Roman"/>
      <family val="1"/>
    </font>
    <font>
      <b/>
      <sz val="14"/>
      <name val="Times New Roman Cyr"/>
      <family val="0"/>
    </font>
    <font>
      <b/>
      <sz val="10"/>
      <name val="Times New Roman Cyr"/>
      <family val="1"/>
    </font>
    <font>
      <sz val="12"/>
      <name val="Times New Roman CYR"/>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medium"/>
      <right style="thin"/>
      <top style="medium"/>
      <bottom style="thin"/>
    </border>
    <border>
      <left style="thin"/>
      <right style="medium"/>
      <top>
        <color indexed="63"/>
      </top>
      <bottom style="medium"/>
    </border>
    <border>
      <left style="thin"/>
      <right>
        <color indexed="63"/>
      </right>
      <top style="thin"/>
      <bottom style="medium"/>
    </border>
    <border>
      <left>
        <color indexed="63"/>
      </left>
      <right style="thin"/>
      <top style="thin"/>
      <bottom style="medium"/>
    </border>
    <border>
      <left style="thin"/>
      <right style="medium"/>
      <top>
        <color indexed="63"/>
      </top>
      <bottom>
        <color indexed="63"/>
      </bottom>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medium"/>
      <top style="medium"/>
      <bottom style="thin"/>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52"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53"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03">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28" fillId="0" borderId="0" xfId="0" applyFont="1" applyAlignment="1">
      <alignment/>
    </xf>
    <xf numFmtId="0" fontId="28" fillId="0" borderId="0" xfId="0" applyNumberFormat="1" applyFont="1" applyFill="1" applyAlignment="1" applyProtection="1">
      <alignment/>
      <protection/>
    </xf>
    <xf numFmtId="0" fontId="28" fillId="0" borderId="12" xfId="0" applyNumberFormat="1" applyFont="1" applyFill="1" applyBorder="1" applyAlignment="1" applyProtection="1">
      <alignment horizontal="center" vertical="center" wrapText="1"/>
      <protection/>
    </xf>
    <xf numFmtId="3" fontId="0" fillId="0" borderId="0" xfId="0" applyNumberFormat="1" applyFont="1" applyFill="1" applyAlignment="1" applyProtection="1">
      <alignment/>
      <protection/>
    </xf>
    <xf numFmtId="0" fontId="0" fillId="0" borderId="0" xfId="0" applyFont="1" applyAlignment="1">
      <alignment/>
    </xf>
    <xf numFmtId="0" fontId="25" fillId="0" borderId="0" xfId="0" applyNumberFormat="1" applyFont="1" applyFill="1" applyAlignment="1" applyProtection="1">
      <alignment horizontal="left" vertical="center" wrapText="1"/>
      <protection/>
    </xf>
    <xf numFmtId="0" fontId="28" fillId="0" borderId="13"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3" fontId="28" fillId="0" borderId="15" xfId="0" applyNumberFormat="1" applyFont="1" applyFill="1" applyBorder="1" applyAlignment="1" applyProtection="1">
      <alignment horizontal="right" vertical="center"/>
      <protection/>
    </xf>
    <xf numFmtId="0" fontId="28" fillId="0" borderId="12" xfId="107" applyFont="1" applyBorder="1">
      <alignment/>
      <protection/>
    </xf>
    <xf numFmtId="0" fontId="28" fillId="0" borderId="12" xfId="107" applyFont="1" applyBorder="1" applyAlignment="1">
      <alignment wrapText="1"/>
      <protection/>
    </xf>
    <xf numFmtId="3" fontId="28" fillId="0" borderId="12" xfId="0" applyNumberFormat="1" applyFont="1" applyFill="1" applyBorder="1" applyAlignment="1" applyProtection="1">
      <alignment vertical="center"/>
      <protection/>
    </xf>
    <xf numFmtId="0" fontId="30" fillId="0" borderId="12" xfId="107" applyFont="1" applyBorder="1" applyAlignment="1">
      <alignment horizontal="center"/>
      <protection/>
    </xf>
    <xf numFmtId="0" fontId="30" fillId="0" borderId="12" xfId="107" applyFont="1" applyBorder="1" applyAlignment="1">
      <alignment wrapText="1"/>
      <protection/>
    </xf>
    <xf numFmtId="3" fontId="30" fillId="0" borderId="12"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0"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0" fillId="0" borderId="0" xfId="0"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49" fontId="27" fillId="0" borderId="12" xfId="0" applyNumberFormat="1" applyFont="1" applyFill="1" applyBorder="1" applyAlignment="1">
      <alignment horizontal="center" vertical="center"/>
    </xf>
    <xf numFmtId="0" fontId="27" fillId="0" borderId="12" xfId="0" applyFont="1" applyFill="1" applyBorder="1" applyAlignment="1">
      <alignment vertical="center" wrapText="1"/>
    </xf>
    <xf numFmtId="1" fontId="27" fillId="0" borderId="12" xfId="0" applyNumberFormat="1" applyFont="1" applyFill="1" applyBorder="1" applyAlignment="1">
      <alignment horizontal="center" vertical="center"/>
    </xf>
    <xf numFmtId="1" fontId="31" fillId="0" borderId="0" xfId="0" applyNumberFormat="1" applyFont="1" applyFill="1" applyBorder="1" applyAlignment="1">
      <alignment/>
    </xf>
    <xf numFmtId="0" fontId="31" fillId="0" borderId="0" xfId="0" applyFont="1" applyFill="1" applyBorder="1" applyAlignment="1">
      <alignment/>
    </xf>
    <xf numFmtId="49" fontId="29" fillId="0" borderId="12" xfId="0" applyNumberFormat="1" applyFont="1" applyFill="1" applyBorder="1" applyAlignment="1">
      <alignment horizontal="center" vertical="center"/>
    </xf>
    <xf numFmtId="0" fontId="29" fillId="0" borderId="12" xfId="0" applyFont="1" applyFill="1" applyBorder="1" applyAlignment="1">
      <alignment horizontal="left" vertical="center" wrapText="1"/>
    </xf>
    <xf numFmtId="1" fontId="29" fillId="0" borderId="12" xfId="0" applyNumberFormat="1" applyFont="1" applyFill="1" applyBorder="1" applyAlignment="1">
      <alignment horizontal="center" vertical="center"/>
    </xf>
    <xf numFmtId="0" fontId="29" fillId="0" borderId="12" xfId="0" applyFont="1" applyFill="1" applyBorder="1" applyAlignment="1">
      <alignment vertical="center" wrapText="1"/>
    </xf>
    <xf numFmtId="49" fontId="29" fillId="0" borderId="15" xfId="0" applyNumberFormat="1" applyFont="1" applyFill="1" applyBorder="1" applyAlignment="1">
      <alignment horizontal="center" vertical="center"/>
    </xf>
    <xf numFmtId="0" fontId="31" fillId="0" borderId="12" xfId="0" applyFont="1" applyFill="1" applyBorder="1" applyAlignment="1">
      <alignment vertical="center"/>
    </xf>
    <xf numFmtId="0" fontId="32" fillId="0" borderId="16" xfId="105" applyFont="1" applyBorder="1" applyAlignment="1">
      <alignment vertical="center" wrapText="1"/>
      <protection/>
    </xf>
    <xf numFmtId="0" fontId="32" fillId="0" borderId="12" xfId="106" applyFont="1" applyBorder="1" applyAlignment="1">
      <alignment vertical="center" wrapText="1"/>
      <protection/>
    </xf>
    <xf numFmtId="1" fontId="33" fillId="0" borderId="0" xfId="0" applyNumberFormat="1" applyFont="1" applyFill="1" applyBorder="1" applyAlignment="1">
      <alignment/>
    </xf>
    <xf numFmtId="0" fontId="33" fillId="0" borderId="0" xfId="0" applyFont="1" applyFill="1" applyBorder="1" applyAlignment="1">
      <alignment/>
    </xf>
    <xf numFmtId="200" fontId="29" fillId="0" borderId="12" xfId="0" applyNumberFormat="1" applyFont="1" applyFill="1" applyBorder="1" applyAlignment="1" applyProtection="1">
      <alignment vertical="center" wrapText="1"/>
      <protection/>
    </xf>
    <xf numFmtId="49" fontId="2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0" fontId="35" fillId="0" borderId="0" xfId="0" applyFont="1" applyFill="1" applyBorder="1" applyAlignment="1">
      <alignment/>
    </xf>
    <xf numFmtId="0" fontId="32" fillId="0" borderId="12" xfId="0" applyFont="1" applyFill="1" applyBorder="1" applyAlignment="1">
      <alignment vertical="center" wrapText="1"/>
    </xf>
    <xf numFmtId="49" fontId="29" fillId="0" borderId="12" xfId="0" applyNumberFormat="1" applyFont="1" applyFill="1" applyBorder="1" applyAlignment="1">
      <alignment horizontal="left" vertical="center" wrapText="1"/>
    </xf>
    <xf numFmtId="0" fontId="36" fillId="0" borderId="0" xfId="0" applyFont="1" applyFill="1" applyBorder="1" applyAlignment="1">
      <alignment/>
    </xf>
    <xf numFmtId="0" fontId="29" fillId="26" borderId="12" xfId="0" applyFont="1" applyFill="1" applyBorder="1" applyAlignment="1">
      <alignment vertical="center" wrapText="1"/>
    </xf>
    <xf numFmtId="49" fontId="29" fillId="0" borderId="17" xfId="0" applyNumberFormat="1" applyFont="1" applyFill="1" applyBorder="1" applyAlignment="1">
      <alignment horizontal="center" vertical="center"/>
    </xf>
    <xf numFmtId="0" fontId="32" fillId="0" borderId="17" xfId="0" applyFont="1" applyFill="1" applyBorder="1" applyAlignment="1">
      <alignment vertical="center" wrapText="1"/>
    </xf>
    <xf numFmtId="1" fontId="29" fillId="0" borderId="17" xfId="0" applyNumberFormat="1" applyFont="1" applyFill="1" applyBorder="1" applyAlignment="1">
      <alignment horizontal="center" vertical="center"/>
    </xf>
    <xf numFmtId="1" fontId="27" fillId="0" borderId="17" xfId="0" applyNumberFormat="1" applyFont="1" applyFill="1" applyBorder="1" applyAlignment="1">
      <alignment horizontal="center" vertical="center"/>
    </xf>
    <xf numFmtId="49" fontId="27" fillId="0" borderId="15" xfId="0" applyNumberFormat="1" applyFont="1" applyFill="1" applyBorder="1" applyAlignment="1">
      <alignment horizontal="center" vertical="center"/>
    </xf>
    <xf numFmtId="0" fontId="27" fillId="0" borderId="15" xfId="0" applyFont="1" applyFill="1" applyBorder="1" applyAlignment="1">
      <alignment vertical="center" wrapText="1"/>
    </xf>
    <xf numFmtId="1" fontId="27" fillId="0" borderId="15" xfId="0" applyNumberFormat="1" applyFont="1" applyFill="1" applyBorder="1" applyAlignment="1">
      <alignment horizontal="center" vertical="center"/>
    </xf>
    <xf numFmtId="0" fontId="29" fillId="0" borderId="15" xfId="0" applyFont="1" applyFill="1" applyBorder="1" applyAlignment="1">
      <alignment horizontal="left" vertical="center" wrapText="1"/>
    </xf>
    <xf numFmtId="0" fontId="29" fillId="0" borderId="15" xfId="0" applyFont="1" applyFill="1" applyBorder="1" applyAlignment="1">
      <alignment vertical="center" wrapText="1"/>
    </xf>
    <xf numFmtId="0" fontId="29" fillId="0" borderId="16" xfId="0" applyFont="1" applyFill="1" applyBorder="1" applyAlignment="1">
      <alignment vertical="center" wrapText="1"/>
    </xf>
    <xf numFmtId="1" fontId="29" fillId="0" borderId="12" xfId="0" applyNumberFormat="1" applyFont="1" applyFill="1" applyBorder="1" applyAlignment="1">
      <alignment vertical="center"/>
    </xf>
    <xf numFmtId="0" fontId="32" fillId="0" borderId="16" xfId="0" applyFont="1" applyBorder="1" applyAlignment="1">
      <alignment vertical="center" wrapText="1"/>
    </xf>
    <xf numFmtId="0" fontId="29" fillId="0" borderId="17" xfId="0" applyFont="1" applyFill="1" applyBorder="1" applyAlignment="1">
      <alignment vertical="center" wrapText="1"/>
    </xf>
    <xf numFmtId="49" fontId="29" fillId="0" borderId="18" xfId="0" applyNumberFormat="1" applyFont="1" applyFill="1" applyBorder="1" applyAlignment="1">
      <alignment horizontal="center" vertical="center"/>
    </xf>
    <xf numFmtId="1" fontId="29" fillId="0" borderId="18" xfId="0" applyNumberFormat="1" applyFont="1" applyFill="1" applyBorder="1" applyAlignment="1">
      <alignment horizontal="center" vertical="center"/>
    </xf>
    <xf numFmtId="1" fontId="29" fillId="0" borderId="19" xfId="0" applyNumberFormat="1" applyFont="1" applyFill="1" applyBorder="1" applyAlignment="1">
      <alignment horizontal="center" vertical="center"/>
    </xf>
    <xf numFmtId="49" fontId="29" fillId="0" borderId="20" xfId="0" applyNumberFormat="1" applyFont="1" applyFill="1" applyBorder="1" applyAlignment="1">
      <alignment horizontal="center" vertical="center"/>
    </xf>
    <xf numFmtId="0" fontId="29" fillId="0" borderId="0" xfId="0" applyFont="1" applyFill="1" applyBorder="1" applyAlignment="1">
      <alignment vertical="center" wrapText="1"/>
    </xf>
    <xf numFmtId="1" fontId="29" fillId="0" borderId="20"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0" borderId="15"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49" fontId="29" fillId="0" borderId="22" xfId="0" applyNumberFormat="1" applyFont="1" applyFill="1" applyBorder="1" applyAlignment="1">
      <alignment horizontal="center" vertical="center"/>
    </xf>
    <xf numFmtId="1" fontId="27" fillId="0" borderId="18" xfId="0" applyNumberFormat="1" applyFont="1" applyFill="1" applyBorder="1" applyAlignment="1">
      <alignment horizontal="center" vertical="center"/>
    </xf>
    <xf numFmtId="0" fontId="29" fillId="0" borderId="12" xfId="0" applyFont="1" applyFill="1" applyBorder="1" applyAlignment="1">
      <alignment wrapText="1"/>
    </xf>
    <xf numFmtId="0" fontId="29" fillId="0" borderId="19" xfId="0" applyFont="1" applyFill="1" applyBorder="1" applyAlignment="1">
      <alignment vertical="center" wrapText="1"/>
    </xf>
    <xf numFmtId="0" fontId="29" fillId="0" borderId="20" xfId="0" applyFont="1" applyFill="1" applyBorder="1" applyAlignment="1">
      <alignment vertical="center" wrapText="1"/>
    </xf>
    <xf numFmtId="1" fontId="27" fillId="0" borderId="20" xfId="0" applyNumberFormat="1" applyFont="1" applyFill="1" applyBorder="1" applyAlignment="1">
      <alignment horizontal="center" vertical="center"/>
    </xf>
    <xf numFmtId="0" fontId="29" fillId="0" borderId="18" xfId="0" applyFont="1" applyFill="1" applyBorder="1" applyAlignment="1">
      <alignment vertical="center" wrapText="1"/>
    </xf>
    <xf numFmtId="49" fontId="29" fillId="0" borderId="14"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wrapText="1"/>
    </xf>
    <xf numFmtId="3" fontId="29" fillId="0" borderId="15" xfId="0" applyNumberFormat="1" applyFont="1" applyFill="1" applyBorder="1" applyAlignment="1">
      <alignment horizontal="center" vertical="center" wrapText="1"/>
    </xf>
    <xf numFmtId="49" fontId="27" fillId="0" borderId="23" xfId="0" applyNumberFormat="1" applyFont="1" applyFill="1" applyBorder="1" applyAlignment="1" applyProtection="1">
      <alignment horizontal="center" vertical="center"/>
      <protection/>
    </xf>
    <xf numFmtId="0" fontId="27" fillId="0" borderId="0" xfId="0" applyFont="1" applyFill="1" applyBorder="1" applyAlignment="1">
      <alignment/>
    </xf>
    <xf numFmtId="0" fontId="27" fillId="0" borderId="23" xfId="0" applyFont="1" applyFill="1" applyBorder="1" applyAlignment="1">
      <alignment vertical="center" wrapText="1"/>
    </xf>
    <xf numFmtId="1" fontId="27" fillId="0" borderId="23" xfId="0" applyNumberFormat="1" applyFont="1" applyFill="1" applyBorder="1" applyAlignment="1">
      <alignment horizontal="center" vertical="center"/>
    </xf>
    <xf numFmtId="0" fontId="38" fillId="0" borderId="12" xfId="0" applyFont="1" applyFill="1" applyBorder="1" applyAlignment="1">
      <alignment vertical="center" wrapText="1"/>
    </xf>
    <xf numFmtId="1" fontId="39" fillId="0" borderId="12" xfId="0" applyNumberFormat="1" applyFont="1" applyFill="1" applyBorder="1" applyAlignment="1">
      <alignment horizontal="center" vertical="center"/>
    </xf>
    <xf numFmtId="0" fontId="38" fillId="0" borderId="15" xfId="0" applyFont="1" applyFill="1" applyBorder="1" applyAlignment="1">
      <alignment vertical="center" wrapText="1"/>
    </xf>
    <xf numFmtId="0" fontId="32" fillId="0" borderId="18" xfId="0" applyFont="1" applyFill="1" applyBorder="1" applyAlignment="1">
      <alignment vertical="center" wrapText="1"/>
    </xf>
    <xf numFmtId="49" fontId="27" fillId="0" borderId="24"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0" fontId="27" fillId="0" borderId="25" xfId="0" applyFont="1" applyFill="1" applyBorder="1" applyAlignment="1">
      <alignment vertical="center" wrapText="1"/>
    </xf>
    <xf numFmtId="1" fontId="27"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29" fillId="0" borderId="0" xfId="0" applyNumberFormat="1" applyFont="1" applyFill="1" applyAlignment="1">
      <alignment horizontal="center" vertical="center"/>
    </xf>
    <xf numFmtId="0" fontId="29" fillId="0" borderId="0" xfId="0" applyFont="1" applyFill="1" applyAlignment="1">
      <alignment/>
    </xf>
    <xf numFmtId="0" fontId="40" fillId="0" borderId="0" xfId="0" applyFont="1" applyFill="1" applyBorder="1" applyAlignment="1">
      <alignment/>
    </xf>
    <xf numFmtId="0" fontId="29" fillId="0" borderId="0" xfId="0" applyNumberFormat="1" applyFont="1" applyFill="1" applyAlignment="1" applyProtection="1">
      <alignment/>
      <protection/>
    </xf>
    <xf numFmtId="1" fontId="40" fillId="0" borderId="0" xfId="0" applyNumberFormat="1" applyFont="1" applyFill="1" applyBorder="1" applyAlignment="1">
      <alignment/>
    </xf>
    <xf numFmtId="1" fontId="29" fillId="0" borderId="0" xfId="0" applyNumberFormat="1" applyFont="1" applyFill="1" applyAlignment="1">
      <alignment/>
    </xf>
    <xf numFmtId="3" fontId="29"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43" fillId="0" borderId="0" xfId="0" applyNumberFormat="1" applyFont="1" applyFill="1" applyAlignment="1" applyProtection="1">
      <alignment/>
      <protection/>
    </xf>
    <xf numFmtId="0" fontId="43" fillId="0" borderId="0" xfId="0" applyNumberFormat="1" applyFont="1" applyFill="1" applyAlignment="1" applyProtection="1">
      <alignment horizontal="center"/>
      <protection/>
    </xf>
    <xf numFmtId="0" fontId="43" fillId="0" borderId="0" xfId="0" applyFont="1" applyFill="1" applyBorder="1" applyAlignment="1">
      <alignment horizontal="center"/>
    </xf>
    <xf numFmtId="0" fontId="43" fillId="0" borderId="0" xfId="0" applyFont="1" applyFill="1" applyBorder="1" applyAlignment="1">
      <alignment horizontal="center" vertical="center"/>
    </xf>
    <xf numFmtId="0" fontId="41"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horizontal="center" vertical="center"/>
      <protection/>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0" fontId="43" fillId="0" borderId="12" xfId="0" applyFont="1" applyFill="1" applyBorder="1" applyAlignment="1">
      <alignment horizontal="center" vertical="center"/>
    </xf>
    <xf numFmtId="0" fontId="43" fillId="0" borderId="15" xfId="0" applyFont="1" applyFill="1" applyBorder="1" applyAlignment="1">
      <alignment horizontal="center" vertical="center"/>
    </xf>
    <xf numFmtId="49" fontId="41" fillId="0" borderId="12" xfId="0" applyNumberFormat="1" applyFont="1" applyFill="1" applyBorder="1" applyAlignment="1">
      <alignment horizontal="center" vertical="center"/>
    </xf>
    <xf numFmtId="0" fontId="43" fillId="0" borderId="12" xfId="0" applyNumberFormat="1" applyFont="1" applyFill="1" applyBorder="1" applyAlignment="1" applyProtection="1">
      <alignment horizontal="center"/>
      <protection/>
    </xf>
    <xf numFmtId="49" fontId="43" fillId="0" borderId="12" xfId="0" applyNumberFormat="1" applyFont="1" applyFill="1" applyBorder="1" applyAlignment="1">
      <alignment horizontal="center" vertical="center" wrapText="1"/>
    </xf>
    <xf numFmtId="0" fontId="41" fillId="0" borderId="12" xfId="0" applyFont="1" applyFill="1" applyBorder="1" applyAlignment="1">
      <alignment horizontal="left" vertical="center" wrapText="1"/>
    </xf>
    <xf numFmtId="200" fontId="43" fillId="0" borderId="12" xfId="95" applyNumberFormat="1" applyFont="1" applyFill="1" applyBorder="1" applyAlignment="1">
      <alignment vertical="center"/>
      <protection/>
    </xf>
    <xf numFmtId="3" fontId="41" fillId="0" borderId="12" xfId="95" applyNumberFormat="1" applyFont="1" applyFill="1" applyBorder="1" applyAlignment="1">
      <alignment horizontal="center" vertical="center"/>
      <protection/>
    </xf>
    <xf numFmtId="49" fontId="43" fillId="0" borderId="18" xfId="0" applyNumberFormat="1" applyFont="1" applyFill="1" applyBorder="1" applyAlignment="1">
      <alignment horizontal="center" vertical="center"/>
    </xf>
    <xf numFmtId="49" fontId="43" fillId="0" borderId="18" xfId="0" applyNumberFormat="1" applyFont="1" applyFill="1" applyBorder="1" applyAlignment="1">
      <alignment horizontal="center" vertical="center" wrapText="1"/>
    </xf>
    <xf numFmtId="0" fontId="43" fillId="0" borderId="18" xfId="0" applyFont="1" applyFill="1" applyBorder="1" applyAlignment="1">
      <alignment horizontal="left" vertical="center" wrapText="1"/>
    </xf>
    <xf numFmtId="0" fontId="43" fillId="0" borderId="12" xfId="0" applyFont="1" applyFill="1" applyBorder="1" applyAlignment="1">
      <alignment horizontal="left" vertical="center" wrapText="1"/>
    </xf>
    <xf numFmtId="200" fontId="43" fillId="0" borderId="12" xfId="0" applyNumberFormat="1" applyFont="1" applyFill="1" applyBorder="1" applyAlignment="1">
      <alignment vertical="center" wrapText="1"/>
    </xf>
    <xf numFmtId="3" fontId="43" fillId="0" borderId="12" xfId="0" applyNumberFormat="1" applyFont="1" applyFill="1" applyBorder="1" applyAlignment="1" applyProtection="1">
      <alignment horizontal="center" vertical="center"/>
      <protection/>
    </xf>
    <xf numFmtId="0" fontId="43" fillId="0" borderId="15" xfId="0" applyFont="1" applyFill="1" applyBorder="1" applyAlignment="1">
      <alignment horizontal="left" vertical="center" wrapText="1"/>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3" fontId="43" fillId="0" borderId="12" xfId="95" applyNumberFormat="1" applyFont="1" applyFill="1" applyBorder="1" applyAlignment="1">
      <alignment horizontal="center" vertical="center"/>
      <protection/>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pplyProtection="1">
      <alignment horizontal="center" vertical="center"/>
      <protection/>
    </xf>
    <xf numFmtId="3" fontId="41" fillId="0" borderId="12"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center" vertical="center"/>
      <protection/>
    </xf>
    <xf numFmtId="200" fontId="43" fillId="0" borderId="18" xfId="0" applyNumberFormat="1" applyFont="1" applyFill="1" applyBorder="1" applyAlignment="1">
      <alignment vertical="center" wrapText="1"/>
    </xf>
    <xf numFmtId="0" fontId="43" fillId="0" borderId="15" xfId="0" applyFont="1" applyFill="1" applyBorder="1" applyAlignment="1">
      <alignment vertical="center" wrapText="1"/>
    </xf>
    <xf numFmtId="0" fontId="43" fillId="0" borderId="18" xfId="0" applyFont="1" applyFill="1" applyBorder="1" applyAlignment="1">
      <alignment vertical="center" wrapText="1"/>
    </xf>
    <xf numFmtId="0" fontId="44" fillId="0" borderId="12" xfId="0" applyFont="1" applyFill="1" applyBorder="1" applyAlignment="1">
      <alignment vertical="center" wrapText="1"/>
    </xf>
    <xf numFmtId="3" fontId="44" fillId="0" borderId="12" xfId="95" applyNumberFormat="1" applyFont="1" applyFill="1" applyBorder="1" applyAlignment="1">
      <alignment horizontal="center" vertical="center"/>
      <protection/>
    </xf>
    <xf numFmtId="49" fontId="43" fillId="0" borderId="17" xfId="0" applyNumberFormat="1" applyFont="1" applyFill="1" applyBorder="1" applyAlignment="1">
      <alignment horizontal="center" vertical="center"/>
    </xf>
    <xf numFmtId="0" fontId="44" fillId="0" borderId="17" xfId="0" applyFont="1" applyFill="1" applyBorder="1" applyAlignment="1">
      <alignment vertical="center" wrapText="1"/>
    </xf>
    <xf numFmtId="0" fontId="43" fillId="0" borderId="17" xfId="0" applyFont="1" applyFill="1" applyBorder="1" applyAlignment="1">
      <alignment horizontal="left" vertical="center" wrapText="1"/>
    </xf>
    <xf numFmtId="200" fontId="43" fillId="0" borderId="17" xfId="0" applyNumberFormat="1" applyFont="1" applyFill="1" applyBorder="1" applyAlignment="1">
      <alignment vertical="center" wrapText="1"/>
    </xf>
    <xf numFmtId="3" fontId="43" fillId="0" borderId="17" xfId="95" applyNumberFormat="1" applyFont="1" applyFill="1" applyBorder="1" applyAlignment="1">
      <alignment horizontal="center" vertical="center"/>
      <protection/>
    </xf>
    <xf numFmtId="200" fontId="43" fillId="0" borderId="15" xfId="0" applyNumberFormat="1" applyFont="1" applyFill="1" applyBorder="1" applyAlignment="1">
      <alignment vertical="center" wrapText="1"/>
    </xf>
    <xf numFmtId="3" fontId="43" fillId="0"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49" fontId="43" fillId="0" borderId="15" xfId="0" applyNumberFormat="1" applyFont="1" applyFill="1" applyBorder="1" applyAlignment="1">
      <alignment horizontal="center" vertical="center"/>
    </xf>
    <xf numFmtId="3" fontId="43" fillId="0" borderId="20" xfId="95" applyNumberFormat="1" applyFont="1" applyFill="1" applyBorder="1" applyAlignment="1">
      <alignment horizontal="center" vertical="center"/>
      <protection/>
    </xf>
    <xf numFmtId="3" fontId="43" fillId="0" borderId="20" xfId="0" applyNumberFormat="1" applyFont="1" applyFill="1" applyBorder="1" applyAlignment="1">
      <alignment horizontal="center" vertical="center" wrapText="1"/>
    </xf>
    <xf numFmtId="0" fontId="43" fillId="0" borderId="16" xfId="0" applyFont="1" applyFill="1" applyBorder="1" applyAlignment="1">
      <alignment vertical="center" wrapText="1"/>
    </xf>
    <xf numFmtId="3" fontId="43" fillId="0" borderId="17" xfId="0" applyNumberFormat="1" applyFont="1" applyFill="1" applyBorder="1" applyAlignment="1">
      <alignment horizontal="center" vertical="center" wrapText="1"/>
    </xf>
    <xf numFmtId="49" fontId="41" fillId="0" borderId="15" xfId="0" applyNumberFormat="1" applyFont="1" applyFill="1" applyBorder="1" applyAlignment="1">
      <alignment horizontal="center" vertical="center"/>
    </xf>
    <xf numFmtId="0" fontId="43" fillId="0" borderId="15" xfId="0" applyNumberFormat="1" applyFont="1" applyFill="1" applyBorder="1" applyAlignment="1" applyProtection="1">
      <alignment horizontal="center"/>
      <protection/>
    </xf>
    <xf numFmtId="49" fontId="43" fillId="0" borderId="15" xfId="0" applyNumberFormat="1" applyFont="1" applyFill="1" applyBorder="1" applyAlignment="1">
      <alignment horizontal="center" vertical="center" wrapText="1"/>
    </xf>
    <xf numFmtId="0" fontId="41" fillId="0" borderId="15" xfId="0" applyFont="1" applyFill="1" applyBorder="1" applyAlignment="1">
      <alignment horizontal="left" vertical="center" wrapText="1"/>
    </xf>
    <xf numFmtId="200" fontId="43" fillId="0" borderId="15" xfId="0" applyNumberFormat="1" applyFont="1" applyFill="1" applyBorder="1" applyAlignment="1" applyProtection="1">
      <alignment vertical="center" wrapText="1"/>
      <protection/>
    </xf>
    <xf numFmtId="3" fontId="41" fillId="0" borderId="15" xfId="0" applyNumberFormat="1" applyFont="1" applyFill="1" applyBorder="1" applyAlignment="1" applyProtection="1">
      <alignment horizontal="center" vertical="center"/>
      <protection/>
    </xf>
    <xf numFmtId="0" fontId="43" fillId="0" borderId="12" xfId="0" applyFont="1" applyFill="1" applyBorder="1" applyAlignment="1">
      <alignment horizontal="left" vertical="center" wrapText="1" shrinkToFit="1"/>
    </xf>
    <xf numFmtId="3" fontId="43" fillId="0" borderId="18" xfId="95" applyNumberFormat="1" applyFont="1" applyFill="1" applyBorder="1" applyAlignment="1">
      <alignment horizontal="center" vertical="center"/>
      <protection/>
    </xf>
    <xf numFmtId="0" fontId="43" fillId="0" borderId="17" xfId="0" applyFont="1" applyFill="1" applyBorder="1" applyAlignment="1">
      <alignment vertical="center" wrapText="1"/>
    </xf>
    <xf numFmtId="3" fontId="43" fillId="0" borderId="17" xfId="0" applyNumberFormat="1" applyFont="1" applyFill="1" applyBorder="1" applyAlignment="1" applyProtection="1">
      <alignment horizontal="center" vertical="center"/>
      <protection/>
    </xf>
    <xf numFmtId="0" fontId="41" fillId="0" borderId="15" xfId="0" applyFont="1" applyFill="1" applyBorder="1" applyAlignment="1">
      <alignment horizontal="left" vertical="center" wrapText="1" shrinkToFit="1"/>
    </xf>
    <xf numFmtId="3" fontId="41" fillId="0" borderId="15" xfId="95" applyNumberFormat="1" applyFont="1" applyFill="1" applyBorder="1" applyAlignment="1">
      <alignment horizontal="center" vertical="center"/>
      <protection/>
    </xf>
    <xf numFmtId="0" fontId="41" fillId="0" borderId="12" xfId="0" applyFont="1" applyFill="1" applyBorder="1" applyAlignment="1">
      <alignment horizontal="left" vertical="center" wrapText="1" shrinkToFit="1"/>
    </xf>
    <xf numFmtId="0" fontId="44" fillId="0" borderId="12" xfId="0" applyFont="1" applyFill="1" applyBorder="1" applyAlignment="1">
      <alignment horizontal="left" vertical="center" wrapText="1"/>
    </xf>
    <xf numFmtId="0" fontId="30" fillId="0" borderId="0" xfId="0" applyFont="1" applyFill="1" applyAlignment="1">
      <alignment/>
    </xf>
    <xf numFmtId="0" fontId="43" fillId="0" borderId="18" xfId="0" applyFont="1" applyFill="1" applyBorder="1" applyAlignment="1">
      <alignment horizontal="center" vertical="center" wrapText="1"/>
    </xf>
    <xf numFmtId="3" fontId="43" fillId="0" borderId="18" xfId="0" applyNumberFormat="1" applyFont="1" applyFill="1" applyBorder="1" applyAlignment="1">
      <alignment horizontal="center" vertical="center" wrapText="1"/>
    </xf>
    <xf numFmtId="3" fontId="43" fillId="0" borderId="12" xfId="0" applyNumberFormat="1" applyFont="1" applyFill="1" applyBorder="1" applyAlignment="1" applyProtection="1">
      <alignment vertical="center"/>
      <protection/>
    </xf>
    <xf numFmtId="49" fontId="43" fillId="0" borderId="17"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3" fontId="41" fillId="0" borderId="18" xfId="0" applyNumberFormat="1" applyFont="1" applyFill="1" applyBorder="1" applyAlignment="1">
      <alignment horizontal="center" vertical="center" wrapText="1"/>
    </xf>
    <xf numFmtId="0" fontId="41" fillId="0" borderId="15" xfId="0" applyFont="1" applyFill="1" applyBorder="1" applyAlignment="1">
      <alignment vertical="center" wrapText="1"/>
    </xf>
    <xf numFmtId="3" fontId="41" fillId="0" borderId="15" xfId="0" applyNumberFormat="1" applyFont="1" applyFill="1" applyBorder="1" applyAlignment="1">
      <alignment horizontal="center" vertical="center" wrapText="1"/>
    </xf>
    <xf numFmtId="0" fontId="41" fillId="0" borderId="12" xfId="0" applyFont="1" applyFill="1" applyBorder="1" applyAlignment="1">
      <alignment vertical="center" wrapText="1"/>
    </xf>
    <xf numFmtId="0" fontId="42" fillId="0" borderId="15" xfId="0" applyFont="1" applyFill="1" applyBorder="1" applyAlignment="1">
      <alignment vertical="center" wrapText="1"/>
    </xf>
    <xf numFmtId="0" fontId="44" fillId="0" borderId="15" xfId="0" applyFont="1" applyFill="1" applyBorder="1" applyAlignment="1">
      <alignment horizontal="left" vertical="center" wrapText="1"/>
    </xf>
    <xf numFmtId="200" fontId="44" fillId="0" borderId="15" xfId="0" applyNumberFormat="1" applyFont="1" applyFill="1" applyBorder="1" applyAlignment="1">
      <alignment vertical="center" wrapText="1"/>
    </xf>
    <xf numFmtId="3" fontId="42" fillId="0" borderId="15" xfId="0" applyNumberFormat="1" applyFont="1" applyFill="1" applyBorder="1" applyAlignment="1">
      <alignment horizontal="center" vertical="center" wrapText="1"/>
    </xf>
    <xf numFmtId="0" fontId="42" fillId="0" borderId="12" xfId="0" applyFont="1" applyFill="1" applyBorder="1" applyAlignment="1">
      <alignment vertical="center" wrapText="1"/>
    </xf>
    <xf numFmtId="200" fontId="44" fillId="0" borderId="12" xfId="0" applyNumberFormat="1" applyFont="1" applyFill="1" applyBorder="1" applyAlignment="1">
      <alignment vertical="center" wrapText="1"/>
    </xf>
    <xf numFmtId="3" fontId="42" fillId="0" borderId="12" xfId="0" applyNumberFormat="1" applyFont="1" applyFill="1" applyBorder="1" applyAlignment="1">
      <alignment horizontal="center" vertical="center" wrapText="1"/>
    </xf>
    <xf numFmtId="3" fontId="44" fillId="0" borderId="12" xfId="0" applyNumberFormat="1" applyFont="1" applyFill="1" applyBorder="1" applyAlignment="1">
      <alignment horizontal="center" vertical="center" wrapText="1"/>
    </xf>
    <xf numFmtId="200" fontId="43" fillId="0" borderId="15" xfId="95" applyNumberFormat="1" applyFont="1" applyFill="1" applyBorder="1" applyAlignment="1">
      <alignment vertical="center" wrapText="1"/>
      <protection/>
    </xf>
    <xf numFmtId="200" fontId="43" fillId="0" borderId="12" xfId="95" applyNumberFormat="1" applyFont="1" applyFill="1" applyBorder="1" applyAlignment="1">
      <alignment vertical="center" wrapText="1"/>
      <protection/>
    </xf>
    <xf numFmtId="0" fontId="41" fillId="0" borderId="25" xfId="0" applyNumberFormat="1" applyFont="1" applyFill="1" applyBorder="1" applyAlignment="1" applyProtection="1">
      <alignment horizontal="center"/>
      <protection/>
    </xf>
    <xf numFmtId="49" fontId="41" fillId="0" borderId="25" xfId="0" applyNumberFormat="1" applyFont="1" applyFill="1" applyBorder="1" applyAlignment="1">
      <alignment horizontal="center" vertical="center" wrapText="1"/>
    </xf>
    <xf numFmtId="0" fontId="41" fillId="0" borderId="25" xfId="0" applyFont="1" applyFill="1" applyBorder="1" applyAlignment="1">
      <alignment horizontal="left" vertical="center" wrapText="1"/>
    </xf>
    <xf numFmtId="200" fontId="41" fillId="0" borderId="25" xfId="0" applyNumberFormat="1" applyFont="1" applyFill="1" applyBorder="1" applyAlignment="1">
      <alignment horizontal="center" vertical="center"/>
    </xf>
    <xf numFmtId="3" fontId="41" fillId="0" borderId="25" xfId="0" applyNumberFormat="1" applyFont="1" applyFill="1" applyBorder="1" applyAlignment="1">
      <alignment horizontal="center" vertical="center"/>
    </xf>
    <xf numFmtId="200"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200" fontId="0" fillId="0" borderId="0" xfId="0" applyNumberFormat="1" applyFont="1" applyFill="1" applyAlignment="1" applyProtection="1">
      <alignment/>
      <protection/>
    </xf>
    <xf numFmtId="0" fontId="28" fillId="0" borderId="0" xfId="0" applyNumberFormat="1" applyFont="1" applyFill="1" applyAlignment="1" applyProtection="1">
      <alignment horizontal="center"/>
      <protection/>
    </xf>
    <xf numFmtId="0" fontId="28" fillId="0" borderId="0" xfId="0" applyFont="1" applyFill="1" applyAlignment="1">
      <alignment horizontal="center"/>
    </xf>
    <xf numFmtId="0" fontId="28" fillId="0" borderId="0" xfId="0" applyFont="1" applyFill="1" applyAlignment="1">
      <alignment vertical="center"/>
    </xf>
    <xf numFmtId="0" fontId="44" fillId="0" borderId="18" xfId="0" applyFont="1" applyFill="1" applyBorder="1" applyAlignment="1">
      <alignment vertical="center" wrapText="1"/>
    </xf>
    <xf numFmtId="3" fontId="44" fillId="0" borderId="18" xfId="0" applyNumberFormat="1" applyFont="1" applyFill="1" applyBorder="1" applyAlignment="1">
      <alignment horizontal="center" vertical="center" wrapText="1"/>
    </xf>
    <xf numFmtId="0" fontId="43" fillId="0" borderId="17" xfId="0" applyFont="1" applyFill="1" applyBorder="1" applyAlignment="1">
      <alignment horizontal="center" vertical="center" wrapText="1"/>
    </xf>
    <xf numFmtId="3" fontId="41" fillId="0" borderId="26" xfId="0" applyNumberFormat="1" applyFont="1" applyFill="1" applyBorder="1" applyAlignment="1">
      <alignment horizontal="center" vertical="center"/>
    </xf>
    <xf numFmtId="0" fontId="43" fillId="0" borderId="17" xfId="0" applyFont="1" applyFill="1" applyBorder="1" applyAlignment="1">
      <alignment horizontal="center" vertical="center"/>
    </xf>
    <xf numFmtId="0" fontId="43" fillId="0" borderId="17" xfId="0" applyFont="1" applyFill="1" applyBorder="1" applyAlignment="1">
      <alignment horizontal="left" vertical="center" wrapText="1" shrinkToFit="1"/>
    </xf>
    <xf numFmtId="49" fontId="43" fillId="0" borderId="23" xfId="0" applyNumberFormat="1" applyFont="1" applyFill="1" applyBorder="1" applyAlignment="1">
      <alignment horizontal="center" vertical="center" wrapText="1"/>
    </xf>
    <xf numFmtId="0" fontId="41" fillId="0" borderId="23" xfId="0" applyFont="1" applyFill="1" applyBorder="1" applyAlignment="1">
      <alignment horizontal="left" vertical="center" wrapText="1"/>
    </xf>
    <xf numFmtId="0" fontId="43" fillId="0" borderId="23" xfId="0" applyFont="1" applyFill="1" applyBorder="1" applyAlignment="1">
      <alignment horizontal="left" vertical="center" wrapText="1"/>
    </xf>
    <xf numFmtId="3" fontId="41" fillId="0" borderId="23" xfId="0" applyNumberFormat="1" applyFont="1" applyFill="1" applyBorder="1" applyAlignment="1">
      <alignment horizontal="center" vertical="center" wrapText="1"/>
    </xf>
    <xf numFmtId="0" fontId="43" fillId="0" borderId="22" xfId="0" applyFont="1" applyFill="1" applyBorder="1" applyAlignment="1">
      <alignment vertical="center" wrapText="1"/>
    </xf>
    <xf numFmtId="0" fontId="43" fillId="0" borderId="0" xfId="0" applyNumberFormat="1" applyFont="1" applyFill="1" applyBorder="1" applyAlignment="1" applyProtection="1">
      <alignment/>
      <protection/>
    </xf>
    <xf numFmtId="200" fontId="43" fillId="0" borderId="18" xfId="0" applyNumberFormat="1" applyFont="1" applyFill="1" applyBorder="1" applyAlignment="1" applyProtection="1">
      <alignment vertical="center" wrapText="1"/>
      <protection/>
    </xf>
    <xf numFmtId="200" fontId="43" fillId="0" borderId="20" xfId="0" applyNumberFormat="1" applyFont="1" applyFill="1" applyBorder="1" applyAlignment="1">
      <alignment vertical="center" wrapText="1"/>
    </xf>
    <xf numFmtId="0" fontId="28" fillId="26" borderId="0" xfId="0" applyFont="1" applyFill="1" applyAlignment="1">
      <alignment/>
    </xf>
    <xf numFmtId="0" fontId="0" fillId="26" borderId="0" xfId="0" applyFont="1" applyFill="1" applyAlignment="1">
      <alignment/>
    </xf>
    <xf numFmtId="0" fontId="0" fillId="0" borderId="0" xfId="0" applyFont="1" applyAlignment="1">
      <alignment/>
    </xf>
    <xf numFmtId="0" fontId="45" fillId="0" borderId="0" xfId="0" applyFont="1" applyAlignment="1">
      <alignment horizontal="center" vertical="center" wrapText="1"/>
    </xf>
    <xf numFmtId="0" fontId="0" fillId="0" borderId="0" xfId="0" applyAlignment="1">
      <alignment wrapText="1"/>
    </xf>
    <xf numFmtId="0" fontId="46" fillId="0" borderId="0" xfId="0" applyFont="1" applyAlignment="1">
      <alignment horizontal="center" vertical="center" wrapText="1"/>
    </xf>
    <xf numFmtId="0" fontId="0" fillId="26" borderId="0" xfId="0" applyFont="1" applyFill="1" applyBorder="1" applyAlignment="1">
      <alignment/>
    </xf>
    <xf numFmtId="0" fontId="28" fillId="0" borderId="0" xfId="0" applyNumberFormat="1" applyFont="1" applyFill="1" applyBorder="1" applyAlignment="1" applyProtection="1">
      <alignment horizontal="center" vertical="center"/>
      <protection/>
    </xf>
    <xf numFmtId="0" fontId="28" fillId="0" borderId="12" xfId="0" applyFont="1" applyBorder="1" applyAlignment="1">
      <alignment horizontal="center" vertical="center" wrapText="1"/>
    </xf>
    <xf numFmtId="0" fontId="28" fillId="0" borderId="20" xfId="0" applyFont="1" applyBorder="1" applyAlignment="1">
      <alignment vertical="center" wrapText="1"/>
    </xf>
    <xf numFmtId="0" fontId="28" fillId="0" borderId="12" xfId="0" applyFont="1" applyBorder="1" applyAlignment="1">
      <alignment wrapText="1"/>
    </xf>
    <xf numFmtId="0" fontId="28" fillId="26" borderId="12" xfId="0" applyFont="1" applyFill="1" applyBorder="1" applyAlignment="1">
      <alignment horizontal="center" vertical="center" wrapText="1"/>
    </xf>
    <xf numFmtId="0" fontId="0" fillId="0" borderId="12" xfId="0" applyFont="1" applyBorder="1" applyAlignment="1">
      <alignment horizontal="center" wrapText="1"/>
    </xf>
    <xf numFmtId="1" fontId="0" fillId="0" borderId="12" xfId="0" applyNumberFormat="1" applyFont="1" applyBorder="1" applyAlignment="1">
      <alignment horizontal="center"/>
    </xf>
    <xf numFmtId="49" fontId="0" fillId="26" borderId="12" xfId="0" applyNumberFormat="1" applyFont="1" applyFill="1" applyBorder="1" applyAlignment="1">
      <alignment horizontal="center"/>
    </xf>
    <xf numFmtId="49" fontId="0" fillId="26" borderId="16" xfId="0" applyNumberFormat="1" applyFont="1" applyFill="1" applyBorder="1" applyAlignment="1">
      <alignment horizontal="center"/>
    </xf>
    <xf numFmtId="0" fontId="28" fillId="0" borderId="12" xfId="0" applyFont="1" applyBorder="1" applyAlignment="1">
      <alignment horizontal="left" wrapText="1"/>
    </xf>
    <xf numFmtId="49" fontId="0" fillId="26" borderId="22" xfId="0" applyNumberFormat="1" applyFont="1" applyFill="1" applyBorder="1" applyAlignment="1">
      <alignment horizontal="center"/>
    </xf>
    <xf numFmtId="1" fontId="29" fillId="0" borderId="12" xfId="0" applyNumberFormat="1" applyFont="1" applyBorder="1" applyAlignment="1">
      <alignment horizontal="center"/>
    </xf>
    <xf numFmtId="49" fontId="29" fillId="26" borderId="12" xfId="0" applyNumberFormat="1" applyFont="1" applyFill="1" applyBorder="1" applyAlignment="1">
      <alignment horizontal="center"/>
    </xf>
    <xf numFmtId="0" fontId="29" fillId="26" borderId="12" xfId="0" applyFont="1" applyFill="1" applyBorder="1" applyAlignment="1">
      <alignment horizontal="center"/>
    </xf>
    <xf numFmtId="0" fontId="29" fillId="26" borderId="0" xfId="0" applyFont="1" applyFill="1" applyBorder="1" applyAlignment="1">
      <alignment horizontal="center"/>
    </xf>
    <xf numFmtId="1" fontId="29" fillId="26" borderId="12" xfId="0" applyNumberFormat="1" applyFont="1" applyFill="1" applyBorder="1" applyAlignment="1">
      <alignment horizontal="center"/>
    </xf>
    <xf numFmtId="0" fontId="29" fillId="0" borderId="12" xfId="0" applyFont="1" applyBorder="1" applyAlignment="1">
      <alignment horizontal="center"/>
    </xf>
    <xf numFmtId="0" fontId="30" fillId="0" borderId="0" xfId="0" applyFont="1" applyBorder="1" applyAlignment="1">
      <alignment horizontal="center" vertical="center" wrapText="1"/>
    </xf>
    <xf numFmtId="0" fontId="30" fillId="0" borderId="0" xfId="0" applyFont="1" applyBorder="1" applyAlignment="1">
      <alignment vertical="center" wrapText="1"/>
    </xf>
    <xf numFmtId="1" fontId="30" fillId="0" borderId="0" xfId="0" applyNumberFormat="1" applyFont="1" applyBorder="1" applyAlignment="1">
      <alignment horizontal="center" wrapText="1"/>
    </xf>
    <xf numFmtId="2" fontId="0" fillId="0" borderId="0" xfId="0" applyNumberFormat="1" applyFont="1" applyAlignment="1">
      <alignment/>
    </xf>
    <xf numFmtId="0" fontId="29" fillId="0" borderId="0" xfId="0" applyFont="1" applyAlignment="1">
      <alignment/>
    </xf>
    <xf numFmtId="1" fontId="0" fillId="26" borderId="0" xfId="0" applyNumberFormat="1" applyFont="1" applyFill="1" applyAlignment="1">
      <alignment/>
    </xf>
    <xf numFmtId="0" fontId="0" fillId="0" borderId="0" xfId="0" applyAlignment="1">
      <alignment horizontal="center" vertical="center" wrapText="1"/>
    </xf>
    <xf numFmtId="49" fontId="29" fillId="26" borderId="22" xfId="0" applyNumberFormat="1" applyFont="1" applyFill="1" applyBorder="1" applyAlignment="1">
      <alignment horizontal="center"/>
    </xf>
    <xf numFmtId="1" fontId="29" fillId="26" borderId="22" xfId="0" applyNumberFormat="1" applyFont="1" applyFill="1" applyBorder="1" applyAlignment="1">
      <alignment horizontal="center"/>
    </xf>
    <xf numFmtId="1" fontId="0" fillId="0" borderId="16" xfId="0" applyNumberFormat="1" applyFont="1" applyBorder="1" applyAlignment="1">
      <alignment horizontal="center"/>
    </xf>
    <xf numFmtId="1" fontId="29" fillId="0" borderId="16" xfId="0" applyNumberFormat="1" applyFont="1" applyBorder="1" applyAlignment="1">
      <alignment horizontal="center"/>
    </xf>
    <xf numFmtId="1" fontId="29" fillId="26" borderId="16" xfId="0" applyNumberFormat="1" applyFont="1" applyFill="1" applyBorder="1" applyAlignment="1">
      <alignment horizontal="center"/>
    </xf>
    <xf numFmtId="200" fontId="41" fillId="0" borderId="27" xfId="0" applyNumberFormat="1" applyFont="1" applyFill="1" applyBorder="1" applyAlignment="1">
      <alignment horizontal="center" vertical="center"/>
    </xf>
    <xf numFmtId="0" fontId="43" fillId="0" borderId="0" xfId="0" applyFont="1" applyFill="1" applyAlignment="1">
      <alignment/>
    </xf>
    <xf numFmtId="49" fontId="44" fillId="0" borderId="18" xfId="0" applyNumberFormat="1" applyFont="1" applyFill="1" applyBorder="1" applyAlignment="1">
      <alignment horizontal="center" vertical="center" wrapText="1"/>
    </xf>
    <xf numFmtId="0" fontId="44" fillId="0" borderId="18" xfId="0" applyFont="1" applyFill="1" applyBorder="1" applyAlignment="1">
      <alignment horizontal="left" vertical="center" wrapText="1"/>
    </xf>
    <xf numFmtId="3" fontId="42" fillId="0" borderId="18" xfId="0" applyNumberFormat="1" applyFont="1" applyFill="1" applyBorder="1" applyAlignment="1">
      <alignment horizontal="center" vertical="center" wrapText="1"/>
    </xf>
    <xf numFmtId="3" fontId="44" fillId="0" borderId="17" xfId="0" applyNumberFormat="1" applyFont="1" applyFill="1" applyBorder="1" applyAlignment="1">
      <alignment horizontal="center" vertical="center" wrapText="1"/>
    </xf>
    <xf numFmtId="3" fontId="44" fillId="0" borderId="18" xfId="0" applyNumberFormat="1" applyFont="1" applyFill="1" applyBorder="1" applyAlignment="1">
      <alignment horizontal="center" vertical="center" wrapText="1"/>
    </xf>
    <xf numFmtId="200" fontId="44" fillId="0" borderId="12" xfId="0" applyNumberFormat="1" applyFont="1" applyFill="1" applyBorder="1" applyAlignment="1">
      <alignment vertical="center" wrapText="1"/>
    </xf>
    <xf numFmtId="49" fontId="25" fillId="0" borderId="28" xfId="0" applyNumberFormat="1" applyFont="1" applyFill="1" applyBorder="1" applyAlignment="1">
      <alignment horizontal="center" vertical="center" wrapText="1"/>
    </xf>
    <xf numFmtId="0" fontId="25" fillId="0" borderId="29" xfId="0" applyFont="1" applyFill="1" applyBorder="1" applyAlignment="1">
      <alignment horizontal="center" vertical="center" wrapText="1"/>
    </xf>
    <xf numFmtId="49" fontId="27" fillId="0" borderId="28" xfId="0" applyNumberFormat="1" applyFont="1" applyFill="1" applyBorder="1" applyAlignment="1">
      <alignment horizontal="center" vertical="center"/>
    </xf>
    <xf numFmtId="1" fontId="27" fillId="0" borderId="29" xfId="0" applyNumberFormat="1" applyFont="1" applyFill="1" applyBorder="1" applyAlignment="1">
      <alignment horizontal="center" vertical="center"/>
    </xf>
    <xf numFmtId="49" fontId="29" fillId="0" borderId="28" xfId="0" applyNumberFormat="1" applyFont="1" applyFill="1" applyBorder="1" applyAlignment="1">
      <alignment horizontal="center" vertical="center"/>
    </xf>
    <xf numFmtId="49" fontId="29" fillId="0" borderId="30" xfId="0" applyNumberFormat="1" applyFont="1" applyFill="1" applyBorder="1" applyAlignment="1">
      <alignment horizontal="center" vertical="center"/>
    </xf>
    <xf numFmtId="49" fontId="29" fillId="0" borderId="31" xfId="0" applyNumberFormat="1" applyFont="1" applyFill="1" applyBorder="1" applyAlignment="1">
      <alignment horizontal="center" vertical="center"/>
    </xf>
    <xf numFmtId="1" fontId="27" fillId="0" borderId="32"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1" fontId="27" fillId="0" borderId="33" xfId="0" applyNumberFormat="1" applyFont="1" applyFill="1" applyBorder="1" applyAlignment="1">
      <alignment horizontal="center" vertical="center"/>
    </xf>
    <xf numFmtId="49" fontId="29" fillId="0" borderId="34" xfId="0" applyNumberFormat="1" applyFont="1" applyFill="1" applyBorder="1" applyAlignment="1">
      <alignment horizontal="center" vertical="center"/>
    </xf>
    <xf numFmtId="49" fontId="29" fillId="0" borderId="35" xfId="0" applyNumberFormat="1" applyFont="1" applyFill="1" applyBorder="1" applyAlignment="1">
      <alignment horizontal="center"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horizontal="left" vertical="center" wrapText="1"/>
    </xf>
    <xf numFmtId="0" fontId="37" fillId="0" borderId="0" xfId="0" applyFont="1" applyFill="1" applyBorder="1" applyAlignment="1">
      <alignment vertical="center" wrapText="1"/>
    </xf>
    <xf numFmtId="1" fontId="27" fillId="0" borderId="36" xfId="0" applyNumberFormat="1" applyFont="1" applyFill="1" applyBorder="1" applyAlignment="1">
      <alignment horizontal="center" vertical="center"/>
    </xf>
    <xf numFmtId="49" fontId="27" fillId="0" borderId="37" xfId="0" applyNumberFormat="1" applyFont="1" applyFill="1" applyBorder="1" applyAlignment="1">
      <alignment horizontal="center" vertical="center"/>
    </xf>
    <xf numFmtId="0" fontId="27" fillId="0" borderId="0" xfId="0" applyFont="1" applyFill="1" applyBorder="1" applyAlignment="1">
      <alignment vertical="center" wrapText="1"/>
    </xf>
    <xf numFmtId="1" fontId="27" fillId="0" borderId="38" xfId="0" applyNumberFormat="1" applyFont="1" applyFill="1" applyBorder="1" applyAlignment="1">
      <alignment horizontal="center" vertical="center"/>
    </xf>
    <xf numFmtId="1" fontId="27" fillId="0" borderId="2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0" fontId="0" fillId="0" borderId="28" xfId="0" applyFont="1" applyBorder="1" applyAlignment="1">
      <alignment horizontal="center" wrapText="1"/>
    </xf>
    <xf numFmtId="1" fontId="0" fillId="0" borderId="29" xfId="0" applyNumberFormat="1" applyFont="1" applyBorder="1" applyAlignment="1">
      <alignment horizontal="center"/>
    </xf>
    <xf numFmtId="1" fontId="29" fillId="0" borderId="29" xfId="0" applyNumberFormat="1" applyFont="1" applyFill="1" applyBorder="1" applyAlignment="1">
      <alignment horizontal="center"/>
    </xf>
    <xf numFmtId="0" fontId="28" fillId="0" borderId="28" xfId="0" applyFont="1" applyBorder="1" applyAlignment="1">
      <alignment horizontal="center" wrapText="1"/>
    </xf>
    <xf numFmtId="1" fontId="29" fillId="0" borderId="29" xfId="0" applyNumberFormat="1" applyFont="1" applyBorder="1" applyAlignment="1">
      <alignment horizontal="center"/>
    </xf>
    <xf numFmtId="0" fontId="29" fillId="0" borderId="29" xfId="0" applyFont="1" applyBorder="1" applyAlignment="1">
      <alignment horizontal="center"/>
    </xf>
    <xf numFmtId="0" fontId="28" fillId="0" borderId="28" xfId="0" applyFont="1" applyBorder="1" applyAlignment="1">
      <alignment wrapText="1"/>
    </xf>
    <xf numFmtId="0" fontId="30" fillId="0" borderId="31" xfId="0" applyFont="1" applyBorder="1" applyAlignment="1">
      <alignment horizontal="center" vertical="center" wrapText="1"/>
    </xf>
    <xf numFmtId="0" fontId="30" fillId="0" borderId="17" xfId="0" applyFont="1" applyBorder="1" applyAlignment="1">
      <alignment vertical="center" wrapText="1"/>
    </xf>
    <xf numFmtId="1" fontId="27" fillId="0" borderId="17" xfId="0" applyNumberFormat="1" applyFont="1" applyBorder="1" applyAlignment="1">
      <alignment horizontal="center" wrapText="1"/>
    </xf>
    <xf numFmtId="1" fontId="27" fillId="0" borderId="39" xfId="0" applyNumberFormat="1" applyFont="1" applyBorder="1" applyAlignment="1">
      <alignment horizontal="center" wrapText="1"/>
    </xf>
    <xf numFmtId="1" fontId="27" fillId="26" borderId="17" xfId="0" applyNumberFormat="1" applyFont="1" applyFill="1" applyBorder="1" applyAlignment="1">
      <alignment horizontal="center"/>
    </xf>
    <xf numFmtId="1" fontId="27" fillId="26" borderId="40" xfId="0" applyNumberFormat="1" applyFont="1" applyFill="1" applyBorder="1" applyAlignment="1">
      <alignment horizontal="center"/>
    </xf>
    <xf numFmtId="1" fontId="27" fillId="0" borderId="32" xfId="0" applyNumberFormat="1" applyFont="1" applyBorder="1" applyAlignment="1">
      <alignment horizontal="center" wrapText="1"/>
    </xf>
    <xf numFmtId="0" fontId="43" fillId="0" borderId="28" xfId="0" applyNumberFormat="1" applyFont="1" applyFill="1" applyBorder="1" applyAlignment="1" applyProtection="1">
      <alignment horizontal="center" vertical="center" wrapText="1"/>
      <protection/>
    </xf>
    <xf numFmtId="0" fontId="43" fillId="0" borderId="33" xfId="0" applyFont="1" applyFill="1" applyBorder="1" applyAlignment="1">
      <alignment horizontal="center" vertical="center" wrapText="1"/>
    </xf>
    <xf numFmtId="0" fontId="43" fillId="0" borderId="29" xfId="0" applyFont="1" applyFill="1" applyBorder="1" applyAlignment="1">
      <alignment horizontal="center" vertical="center"/>
    </xf>
    <xf numFmtId="49" fontId="41" fillId="0" borderId="28" xfId="0" applyNumberFormat="1" applyFont="1" applyFill="1" applyBorder="1" applyAlignment="1">
      <alignment horizontal="center" vertical="center"/>
    </xf>
    <xf numFmtId="3" fontId="41" fillId="0" borderId="29" xfId="95" applyNumberFormat="1" applyFont="1" applyFill="1" applyBorder="1" applyAlignment="1">
      <alignment horizontal="center" vertical="center"/>
      <protection/>
    </xf>
    <xf numFmtId="49" fontId="43" fillId="0" borderId="34" xfId="0" applyNumberFormat="1" applyFont="1" applyFill="1" applyBorder="1" applyAlignment="1">
      <alignment horizontal="center" vertical="center"/>
    </xf>
    <xf numFmtId="3" fontId="43" fillId="0" borderId="29" xfId="0" applyNumberFormat="1" applyFont="1" applyFill="1" applyBorder="1" applyAlignment="1" applyProtection="1">
      <alignment horizontal="center" vertical="center"/>
      <protection/>
    </xf>
    <xf numFmtId="3" fontId="43" fillId="0" borderId="29" xfId="95" applyNumberFormat="1" applyFont="1" applyFill="1" applyBorder="1" applyAlignment="1">
      <alignment horizontal="center" vertical="center"/>
      <protection/>
    </xf>
    <xf numFmtId="49" fontId="43" fillId="0" borderId="28" xfId="0" applyNumberFormat="1" applyFont="1" applyFill="1" applyBorder="1" applyAlignment="1">
      <alignment horizontal="center" vertical="center"/>
    </xf>
    <xf numFmtId="3" fontId="41" fillId="0" borderId="29" xfId="0" applyNumberFormat="1" applyFont="1" applyFill="1" applyBorder="1" applyAlignment="1" applyProtection="1">
      <alignment horizontal="center" vertical="center"/>
      <protection/>
    </xf>
    <xf numFmtId="49" fontId="43" fillId="0" borderId="31" xfId="0" applyNumberFormat="1" applyFont="1" applyFill="1" applyBorder="1" applyAlignment="1">
      <alignment horizontal="center" vertical="center"/>
    </xf>
    <xf numFmtId="3" fontId="43" fillId="0" borderId="32" xfId="95" applyNumberFormat="1" applyFont="1" applyFill="1" applyBorder="1" applyAlignment="1">
      <alignment horizontal="center" vertical="center"/>
      <protection/>
    </xf>
    <xf numFmtId="0" fontId="41" fillId="0" borderId="29" xfId="0" applyFont="1" applyFill="1" applyBorder="1" applyAlignment="1">
      <alignment horizontal="center" vertical="center" wrapText="1"/>
    </xf>
    <xf numFmtId="3" fontId="43" fillId="0" borderId="29" xfId="0" applyNumberFormat="1" applyFont="1" applyFill="1" applyBorder="1" applyAlignment="1">
      <alignment horizontal="center" vertical="center" wrapText="1"/>
    </xf>
    <xf numFmtId="3" fontId="41" fillId="0" borderId="29" xfId="0" applyNumberFormat="1" applyFont="1" applyFill="1" applyBorder="1" applyAlignment="1">
      <alignment horizontal="center" vertical="center" wrapText="1"/>
    </xf>
    <xf numFmtId="49" fontId="43" fillId="0" borderId="30" xfId="0" applyNumberFormat="1" applyFont="1" applyFill="1" applyBorder="1" applyAlignment="1">
      <alignment horizontal="center" vertical="center"/>
    </xf>
    <xf numFmtId="3" fontId="41" fillId="0" borderId="41" xfId="0" applyNumberFormat="1" applyFont="1" applyFill="1" applyBorder="1" applyAlignment="1">
      <alignment horizontal="center" vertical="center" wrapText="1"/>
    </xf>
    <xf numFmtId="3" fontId="43" fillId="0" borderId="36" xfId="0" applyNumberFormat="1" applyFont="1" applyFill="1" applyBorder="1" applyAlignment="1">
      <alignment horizontal="center" vertical="center" wrapText="1"/>
    </xf>
    <xf numFmtId="3" fontId="43" fillId="0" borderId="32" xfId="0" applyNumberFormat="1" applyFont="1" applyFill="1" applyBorder="1" applyAlignment="1">
      <alignment horizontal="center" vertical="center" wrapText="1"/>
    </xf>
    <xf numFmtId="49" fontId="41" fillId="0" borderId="30" xfId="0" applyNumberFormat="1" applyFont="1" applyFill="1" applyBorder="1" applyAlignment="1">
      <alignment horizontal="center" vertical="center"/>
    </xf>
    <xf numFmtId="3" fontId="41" fillId="0" borderId="33" xfId="0" applyNumberFormat="1" applyFont="1" applyFill="1" applyBorder="1" applyAlignment="1" applyProtection="1">
      <alignment horizontal="center" vertical="center"/>
      <protection/>
    </xf>
    <xf numFmtId="3" fontId="41" fillId="0" borderId="32" xfId="95" applyNumberFormat="1" applyFont="1" applyFill="1" applyBorder="1" applyAlignment="1">
      <alignment horizontal="center" vertical="center"/>
      <protection/>
    </xf>
    <xf numFmtId="3" fontId="41" fillId="0" borderId="33" xfId="95" applyNumberFormat="1" applyFont="1" applyFill="1" applyBorder="1" applyAlignment="1">
      <alignment horizontal="center" vertical="center"/>
      <protection/>
    </xf>
    <xf numFmtId="1" fontId="41" fillId="0" borderId="29" xfId="0" applyNumberFormat="1" applyFont="1" applyFill="1" applyBorder="1" applyAlignment="1">
      <alignment horizontal="center" vertical="center" wrapText="1"/>
    </xf>
    <xf numFmtId="1" fontId="41" fillId="0" borderId="36" xfId="0" applyNumberFormat="1" applyFont="1" applyFill="1" applyBorder="1" applyAlignment="1">
      <alignment horizontal="center" vertical="center" wrapText="1"/>
    </xf>
    <xf numFmtId="1" fontId="41" fillId="0" borderId="32" xfId="0" applyNumberFormat="1" applyFont="1" applyFill="1" applyBorder="1" applyAlignment="1">
      <alignment horizontal="center" vertical="center" wrapText="1"/>
    </xf>
    <xf numFmtId="0" fontId="43" fillId="0" borderId="28" xfId="0" applyNumberFormat="1" applyFont="1" applyFill="1" applyBorder="1" applyAlignment="1" applyProtection="1">
      <alignment horizontal="center" vertical="center"/>
      <protection/>
    </xf>
    <xf numFmtId="49" fontId="41" fillId="0" borderId="37" xfId="0" applyNumberFormat="1" applyFont="1" applyFill="1" applyBorder="1" applyAlignment="1">
      <alignment horizontal="center" vertical="center" wrapText="1"/>
    </xf>
    <xf numFmtId="3" fontId="41" fillId="0" borderId="42" xfId="0" applyNumberFormat="1" applyFont="1" applyFill="1" applyBorder="1" applyAlignment="1">
      <alignment horizontal="center" vertical="center" wrapText="1"/>
    </xf>
    <xf numFmtId="49" fontId="41" fillId="0" borderId="28" xfId="0" applyNumberFormat="1" applyFont="1" applyFill="1" applyBorder="1" applyAlignment="1">
      <alignment horizontal="center" vertical="center" wrapText="1"/>
    </xf>
    <xf numFmtId="49" fontId="43" fillId="0" borderId="28" xfId="0" applyNumberFormat="1" applyFont="1" applyFill="1" applyBorder="1" applyAlignment="1">
      <alignment horizontal="center" vertical="center" wrapText="1"/>
    </xf>
    <xf numFmtId="49" fontId="43" fillId="0" borderId="34" xfId="0" applyNumberFormat="1" applyFont="1" applyFill="1" applyBorder="1" applyAlignment="1">
      <alignment horizontal="center" vertical="center" wrapText="1"/>
    </xf>
    <xf numFmtId="3" fontId="43" fillId="0" borderId="36" xfId="95" applyNumberFormat="1" applyFont="1" applyFill="1" applyBorder="1" applyAlignment="1">
      <alignment horizontal="center" vertical="center"/>
      <protection/>
    </xf>
    <xf numFmtId="49" fontId="43" fillId="0" borderId="31" xfId="0" applyNumberFormat="1" applyFont="1" applyFill="1" applyBorder="1" applyAlignment="1">
      <alignment horizontal="center" vertical="center" wrapText="1"/>
    </xf>
    <xf numFmtId="3" fontId="41" fillId="0" borderId="33" xfId="0" applyNumberFormat="1" applyFont="1" applyFill="1" applyBorder="1" applyAlignment="1">
      <alignment horizontal="center" vertical="center" wrapText="1"/>
    </xf>
    <xf numFmtId="49" fontId="44" fillId="0" borderId="34" xfId="0" applyNumberFormat="1" applyFont="1" applyFill="1" applyBorder="1" applyAlignment="1">
      <alignment horizontal="center" vertical="center" wrapText="1"/>
    </xf>
    <xf numFmtId="3" fontId="44" fillId="0" borderId="36" xfId="95" applyNumberFormat="1" applyFont="1" applyFill="1" applyBorder="1" applyAlignment="1">
      <alignment horizontal="center" vertical="center"/>
      <protection/>
    </xf>
    <xf numFmtId="3" fontId="44" fillId="0" borderId="32" xfId="95" applyNumberFormat="1" applyFont="1" applyFill="1" applyBorder="1" applyAlignment="1">
      <alignment horizontal="center" vertical="center"/>
      <protection/>
    </xf>
    <xf numFmtId="3" fontId="42" fillId="0" borderId="33" xfId="0" applyNumberFormat="1" applyFont="1" applyFill="1" applyBorder="1" applyAlignment="1">
      <alignment horizontal="center" vertical="center" wrapText="1"/>
    </xf>
    <xf numFmtId="3" fontId="42" fillId="0" borderId="29" xfId="0" applyNumberFormat="1" applyFont="1" applyFill="1" applyBorder="1" applyAlignment="1">
      <alignment horizontal="center" vertical="center" wrapText="1"/>
    </xf>
    <xf numFmtId="3" fontId="44" fillId="0" borderId="36" xfId="0" applyNumberFormat="1" applyFont="1" applyFill="1" applyBorder="1" applyAlignment="1">
      <alignment horizontal="center" vertical="center" wrapText="1"/>
    </xf>
    <xf numFmtId="3" fontId="44" fillId="0" borderId="29" xfId="95" applyNumberFormat="1" applyFont="1" applyFill="1" applyBorder="1" applyAlignment="1">
      <alignment horizontal="center" vertical="center"/>
      <protection/>
    </xf>
    <xf numFmtId="0" fontId="41" fillId="0" borderId="30"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1" fillId="0" borderId="24" xfId="0" applyNumberFormat="1" applyFont="1" applyFill="1" applyBorder="1" applyAlignment="1" applyProtection="1">
      <alignment horizontal="center"/>
      <protection/>
    </xf>
    <xf numFmtId="0" fontId="43" fillId="0" borderId="0" xfId="0" applyFont="1" applyFill="1" applyBorder="1" applyAlignment="1">
      <alignment vertical="center" wrapText="1"/>
    </xf>
    <xf numFmtId="0" fontId="28" fillId="0" borderId="23" xfId="0" applyFont="1" applyBorder="1" applyAlignment="1">
      <alignment horizontal="center" wrapText="1"/>
    </xf>
    <xf numFmtId="0" fontId="0" fillId="0" borderId="23" xfId="0" applyBorder="1" applyAlignment="1">
      <alignment/>
    </xf>
    <xf numFmtId="49" fontId="28" fillId="26" borderId="12" xfId="0" applyNumberFormat="1" applyFont="1" applyFill="1" applyBorder="1" applyAlignment="1">
      <alignment horizontal="center" wrapText="1"/>
    </xf>
    <xf numFmtId="0" fontId="28" fillId="0" borderId="12" xfId="0" applyFont="1" applyBorder="1" applyAlignment="1">
      <alignment horizontal="center" wrapText="1"/>
    </xf>
    <xf numFmtId="0" fontId="28" fillId="0" borderId="0" xfId="0" applyNumberFormat="1" applyFont="1" applyFill="1" applyAlignment="1" applyProtection="1">
      <alignment horizontal="right"/>
      <protection/>
    </xf>
    <xf numFmtId="0" fontId="45" fillId="0" borderId="0" xfId="0" applyFont="1" applyAlignment="1">
      <alignment horizontal="center" vertical="center" wrapText="1"/>
    </xf>
    <xf numFmtId="0" fontId="0" fillId="0" borderId="0" xfId="0" applyAlignment="1">
      <alignment horizontal="center" vertical="center" wrapText="1"/>
    </xf>
    <xf numFmtId="0" fontId="28" fillId="26" borderId="43" xfId="0" applyFont="1" applyFill="1" applyBorder="1" applyAlignment="1">
      <alignment horizontal="center" vertical="center" wrapText="1"/>
    </xf>
    <xf numFmtId="0" fontId="0" fillId="0" borderId="44" xfId="0" applyBorder="1" applyAlignment="1">
      <alignment horizontal="center" wrapText="1"/>
    </xf>
    <xf numFmtId="0" fontId="28" fillId="0" borderId="22"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xf>
    <xf numFmtId="0" fontId="28" fillId="0" borderId="20" xfId="0" applyFont="1" applyBorder="1" applyAlignment="1">
      <alignment horizontal="center" vertical="center" wrapText="1"/>
    </xf>
    <xf numFmtId="0" fontId="28" fillId="0" borderId="20" xfId="0" applyFont="1" applyBorder="1" applyAlignment="1">
      <alignment/>
    </xf>
    <xf numFmtId="0" fontId="28" fillId="0" borderId="15" xfId="0" applyFont="1" applyBorder="1" applyAlignment="1">
      <alignment/>
    </xf>
    <xf numFmtId="0" fontId="28" fillId="0" borderId="15" xfId="0" applyFont="1" applyBorder="1" applyAlignment="1">
      <alignment horizontal="center" vertical="center" wrapText="1"/>
    </xf>
    <xf numFmtId="49" fontId="28" fillId="26" borderId="12" xfId="0" applyNumberFormat="1" applyFont="1" applyFill="1" applyBorder="1" applyAlignment="1">
      <alignment horizontal="center" vertical="center" wrapText="1"/>
    </xf>
    <xf numFmtId="49" fontId="28" fillId="26" borderId="22" xfId="0" applyNumberFormat="1" applyFont="1" applyFill="1" applyBorder="1" applyAlignment="1">
      <alignment horizontal="center" vertical="center" wrapText="1"/>
    </xf>
    <xf numFmtId="0" fontId="28" fillId="0" borderId="14" xfId="0" applyFont="1" applyBorder="1" applyAlignment="1">
      <alignment horizontal="center" vertical="center" wrapText="1"/>
    </xf>
    <xf numFmtId="0" fontId="0" fillId="0" borderId="16" xfId="0" applyBorder="1" applyAlignment="1">
      <alignment horizontal="center" vertical="center" wrapText="1"/>
    </xf>
    <xf numFmtId="0" fontId="27" fillId="0" borderId="0" xfId="0" applyFont="1" applyFill="1" applyAlignment="1">
      <alignment horizontal="center"/>
    </xf>
    <xf numFmtId="0" fontId="29" fillId="0" borderId="0" xfId="0" applyFont="1" applyFill="1" applyAlignment="1">
      <alignment horizontal="center"/>
    </xf>
    <xf numFmtId="0" fontId="25" fillId="0" borderId="42"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0" fillId="0" borderId="12" xfId="0" applyFont="1" applyFill="1" applyBorder="1" applyAlignment="1">
      <alignment/>
    </xf>
    <xf numFmtId="0" fontId="28" fillId="0" borderId="12" xfId="0" applyFont="1" applyBorder="1" applyAlignment="1">
      <alignment horizontal="center" vertical="center" wrapText="1"/>
    </xf>
    <xf numFmtId="0" fontId="0" fillId="0" borderId="12" xfId="0" applyBorder="1" applyAlignment="1">
      <alignment/>
    </xf>
    <xf numFmtId="0" fontId="47" fillId="0" borderId="45" xfId="0" applyFont="1" applyBorder="1" applyAlignment="1">
      <alignment horizontal="center" vertical="center"/>
    </xf>
    <xf numFmtId="0" fontId="47" fillId="0" borderId="35" xfId="0" applyFont="1" applyBorder="1" applyAlignment="1">
      <alignment horizontal="center" vertical="center"/>
    </xf>
    <xf numFmtId="0" fontId="0" fillId="0" borderId="35" xfId="0" applyBorder="1" applyAlignment="1">
      <alignment/>
    </xf>
    <xf numFmtId="0" fontId="0" fillId="0" borderId="30" xfId="0" applyBorder="1" applyAlignment="1">
      <alignment/>
    </xf>
    <xf numFmtId="0" fontId="47" fillId="0" borderId="46"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20" xfId="0" applyBorder="1" applyAlignment="1">
      <alignment wrapText="1"/>
    </xf>
    <xf numFmtId="0" fontId="0" fillId="0" borderId="15" xfId="0" applyBorder="1" applyAlignment="1">
      <alignment wrapText="1"/>
    </xf>
    <xf numFmtId="0" fontId="28" fillId="26" borderId="18" xfId="0" applyFont="1" applyFill="1" applyBorder="1" applyAlignment="1">
      <alignment horizontal="center" vertical="center" wrapText="1"/>
    </xf>
    <xf numFmtId="0" fontId="30" fillId="0" borderId="22" xfId="0" applyNumberFormat="1" applyFont="1" applyFill="1" applyBorder="1" applyAlignment="1" applyProtection="1">
      <alignment horizontal="left" vertical="center" wrapText="1"/>
      <protection/>
    </xf>
    <xf numFmtId="0" fontId="30" fillId="0" borderId="14" xfId="0" applyFont="1" applyBorder="1" applyAlignment="1">
      <alignment horizontal="left" vertical="center" wrapText="1"/>
    </xf>
    <xf numFmtId="0" fontId="19" fillId="0" borderId="14" xfId="0" applyFont="1" applyBorder="1" applyAlignment="1">
      <alignment vertical="center" wrapText="1"/>
    </xf>
    <xf numFmtId="0" fontId="19" fillId="0" borderId="16" xfId="0" applyFont="1" applyBorder="1" applyAlignment="1">
      <alignment vertical="center" wrapText="1"/>
    </xf>
    <xf numFmtId="0" fontId="30" fillId="0" borderId="22" xfId="107" applyFont="1" applyBorder="1" applyAlignment="1">
      <alignment wrapText="1"/>
      <protection/>
    </xf>
    <xf numFmtId="0" fontId="19" fillId="0" borderId="14" xfId="0" applyFont="1" applyBorder="1" applyAlignment="1">
      <alignment wrapText="1"/>
    </xf>
    <xf numFmtId="0" fontId="19" fillId="0" borderId="16" xfId="0" applyFont="1" applyBorder="1" applyAlignment="1">
      <alignment wrapText="1"/>
    </xf>
    <xf numFmtId="0" fontId="25" fillId="0" borderId="0" xfId="0" applyNumberFormat="1" applyFont="1" applyFill="1" applyAlignment="1" applyProtection="1">
      <alignment horizontal="left" vertical="center" wrapText="1"/>
      <protection/>
    </xf>
    <xf numFmtId="0" fontId="27"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28" fillId="0" borderId="12" xfId="0" applyNumberFormat="1" applyFont="1" applyFill="1" applyBorder="1" applyAlignment="1" applyProtection="1">
      <alignment horizontal="center" vertical="center" wrapText="1"/>
      <protection/>
    </xf>
    <xf numFmtId="0" fontId="25" fillId="0" borderId="23" xfId="0" applyFont="1" applyFill="1" applyBorder="1" applyAlignment="1">
      <alignment horizontal="center" vertical="center" wrapText="1"/>
    </xf>
    <xf numFmtId="0" fontId="25" fillId="0" borderId="12" xfId="0" applyFont="1" applyFill="1" applyBorder="1" applyAlignment="1">
      <alignment horizontal="center" vertical="center" wrapText="1"/>
    </xf>
    <xf numFmtId="49" fontId="25" fillId="0" borderId="37" xfId="0" applyNumberFormat="1" applyFont="1" applyFill="1" applyBorder="1" applyAlignment="1">
      <alignment horizontal="center" vertical="center" wrapText="1"/>
    </xf>
    <xf numFmtId="49" fontId="25" fillId="0" borderId="28"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8" xfId="0" applyFont="1" applyBorder="1" applyAlignment="1">
      <alignment horizontal="center" vertical="center" wrapText="1"/>
    </xf>
    <xf numFmtId="0" fontId="0" fillId="0" borderId="15" xfId="0" applyBorder="1" applyAlignment="1">
      <alignment horizontal="center" vertical="center" wrapText="1"/>
    </xf>
    <xf numFmtId="0" fontId="28" fillId="0" borderId="12" xfId="0" applyFont="1" applyBorder="1" applyAlignment="1">
      <alignment wrapText="1"/>
    </xf>
    <xf numFmtId="0" fontId="28" fillId="26" borderId="12" xfId="0" applyFont="1" applyFill="1" applyBorder="1" applyAlignment="1">
      <alignment horizontal="center" vertical="center" wrapText="1"/>
    </xf>
    <xf numFmtId="0" fontId="0" fillId="0" borderId="12" xfId="0" applyBorder="1" applyAlignment="1">
      <alignment horizontal="center" vertical="center" wrapText="1"/>
    </xf>
    <xf numFmtId="0" fontId="28" fillId="26" borderId="18" xfId="0" applyNumberFormat="1" applyFont="1" applyFill="1" applyBorder="1" applyAlignment="1">
      <alignment horizontal="center" vertical="center" wrapText="1"/>
    </xf>
    <xf numFmtId="0" fontId="28" fillId="0" borderId="20" xfId="0" applyFont="1" applyBorder="1" applyAlignment="1">
      <alignment horizontal="center" vertical="center"/>
    </xf>
    <xf numFmtId="0" fontId="28" fillId="0" borderId="15" xfId="0" applyFont="1" applyBorder="1" applyAlignment="1">
      <alignment horizontal="center" vertical="center"/>
    </xf>
    <xf numFmtId="49" fontId="28" fillId="26" borderId="49" xfId="0" applyNumberFormat="1" applyFont="1" applyFill="1" applyBorder="1" applyAlignment="1">
      <alignment horizontal="center" vertical="center" wrapText="1"/>
    </xf>
    <xf numFmtId="0" fontId="28" fillId="0" borderId="50" xfId="0" applyFont="1" applyBorder="1" applyAlignment="1">
      <alignment horizontal="center" wrapText="1"/>
    </xf>
    <xf numFmtId="0" fontId="28" fillId="0" borderId="51" xfId="0" applyFont="1" applyBorder="1" applyAlignment="1">
      <alignment horizontal="center" wrapText="1"/>
    </xf>
    <xf numFmtId="0" fontId="28" fillId="0" borderId="52" xfId="0" applyFont="1" applyBorder="1" applyAlignment="1">
      <alignment horizontal="center" vertical="center" wrapText="1"/>
    </xf>
    <xf numFmtId="0" fontId="0" fillId="0" borderId="23" xfId="0" applyBorder="1" applyAlignment="1">
      <alignment horizontal="center" wrapText="1"/>
    </xf>
    <xf numFmtId="0" fontId="0" fillId="0" borderId="42" xfId="0" applyBorder="1" applyAlignment="1">
      <alignment horizontal="center" wrapText="1"/>
    </xf>
    <xf numFmtId="0" fontId="47" fillId="0" borderId="18" xfId="0" applyFont="1" applyBorder="1" applyAlignment="1">
      <alignment horizontal="center" vertical="center" wrapText="1"/>
    </xf>
    <xf numFmtId="0" fontId="28" fillId="0" borderId="15" xfId="0" applyFont="1" applyBorder="1" applyAlignment="1">
      <alignment wrapText="1"/>
    </xf>
    <xf numFmtId="0" fontId="28" fillId="0" borderId="29" xfId="0" applyFont="1" applyBorder="1" applyAlignment="1">
      <alignment horizontal="center" vertical="center" wrapText="1"/>
    </xf>
    <xf numFmtId="0" fontId="28" fillId="0" borderId="29" xfId="0" applyFont="1" applyBorder="1" applyAlignment="1">
      <alignment horizontal="center" wrapText="1"/>
    </xf>
    <xf numFmtId="0" fontId="28" fillId="0" borderId="14" xfId="0" applyFont="1" applyBorder="1" applyAlignment="1">
      <alignment horizontal="center" wrapText="1"/>
    </xf>
    <xf numFmtId="0" fontId="0" fillId="0" borderId="16" xfId="0" applyBorder="1" applyAlignment="1">
      <alignment horizontal="center" wrapText="1"/>
    </xf>
    <xf numFmtId="49" fontId="28" fillId="26" borderId="18" xfId="0" applyNumberFormat="1" applyFont="1" applyFill="1" applyBorder="1" applyAlignment="1">
      <alignment horizontal="center" vertical="center" wrapText="1"/>
    </xf>
    <xf numFmtId="49" fontId="43" fillId="0" borderId="34" xfId="0" applyNumberFormat="1" applyFont="1" applyFill="1" applyBorder="1" applyAlignment="1">
      <alignment horizontal="center" vertical="center"/>
    </xf>
    <xf numFmtId="0" fontId="43" fillId="0" borderId="30" xfId="0" applyFont="1" applyFill="1" applyBorder="1" applyAlignment="1">
      <alignment horizontal="center" vertical="center"/>
    </xf>
    <xf numFmtId="49" fontId="43" fillId="0" borderId="18" xfId="0" applyNumberFormat="1" applyFont="1" applyFill="1" applyBorder="1" applyAlignment="1" applyProtection="1">
      <alignment horizontal="center" vertical="center"/>
      <protection/>
    </xf>
    <xf numFmtId="0" fontId="43" fillId="0" borderId="15" xfId="0" applyFont="1" applyFill="1" applyBorder="1" applyAlignment="1">
      <alignment horizontal="center" vertical="center"/>
    </xf>
    <xf numFmtId="49" fontId="43" fillId="0" borderId="18"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27" fillId="0" borderId="0" xfId="0" applyNumberFormat="1" applyFont="1" applyFill="1" applyAlignment="1" applyProtection="1">
      <alignment horizontal="center" wrapText="1"/>
      <protection/>
    </xf>
    <xf numFmtId="0" fontId="27" fillId="0" borderId="0" xfId="0" applyFont="1" applyFill="1" applyAlignment="1">
      <alignment horizontal="center" wrapText="1"/>
    </xf>
    <xf numFmtId="0" fontId="43" fillId="0" borderId="37" xfId="0" applyNumberFormat="1" applyFont="1" applyFill="1" applyBorder="1" applyAlignment="1" applyProtection="1">
      <alignment horizontal="center" vertical="center" wrapText="1"/>
      <protection/>
    </xf>
    <xf numFmtId="0" fontId="43" fillId="0" borderId="28" xfId="0" applyNumberFormat="1" applyFont="1" applyFill="1" applyBorder="1" applyAlignment="1" applyProtection="1">
      <alignment horizontal="center" vertical="center" wrapText="1"/>
      <protection/>
    </xf>
    <xf numFmtId="0" fontId="43" fillId="0" borderId="23" xfId="0" applyNumberFormat="1" applyFont="1" applyFill="1" applyBorder="1" applyAlignment="1" applyProtection="1">
      <alignment horizontal="center" vertical="center" wrapText="1"/>
      <protection/>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0" fontId="43" fillId="0" borderId="23" xfId="0" applyFont="1" applyFill="1" applyBorder="1" applyAlignment="1">
      <alignment horizontal="center" vertical="center" wrapText="1"/>
    </xf>
    <xf numFmtId="0" fontId="43" fillId="0" borderId="12" xfId="0" applyFont="1" applyFill="1" applyBorder="1" applyAlignment="1">
      <alignment horizontal="center" vertical="center"/>
    </xf>
    <xf numFmtId="0" fontId="43" fillId="0" borderId="18"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43" xfId="0" applyFont="1" applyFill="1" applyBorder="1" applyAlignment="1">
      <alignment horizontal="center" vertical="center" wrapText="1"/>
    </xf>
    <xf numFmtId="0" fontId="0" fillId="0" borderId="53" xfId="0" applyFill="1" applyBorder="1" applyAlignment="1">
      <alignment horizontal="center" vertical="center" wrapText="1"/>
    </xf>
    <xf numFmtId="49" fontId="43" fillId="0" borderId="28" xfId="0" applyNumberFormat="1" applyFont="1" applyFill="1" applyBorder="1" applyAlignment="1">
      <alignment horizontal="center" vertical="center"/>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vertical="center" wrapText="1"/>
    </xf>
    <xf numFmtId="0" fontId="43" fillId="0" borderId="18" xfId="0" applyFont="1" applyFill="1" applyBorder="1" applyAlignment="1">
      <alignment vertical="center" wrapText="1"/>
    </xf>
    <xf numFmtId="0" fontId="43" fillId="0" borderId="15" xfId="0" applyFont="1" applyFill="1" applyBorder="1" applyAlignment="1">
      <alignment vertical="center" wrapText="1"/>
    </xf>
    <xf numFmtId="49" fontId="43" fillId="0" borderId="18" xfId="0" applyNumberFormat="1" applyFont="1" applyFill="1" applyBorder="1" applyAlignment="1">
      <alignment horizontal="center" vertical="center"/>
    </xf>
    <xf numFmtId="0" fontId="44" fillId="0" borderId="18" xfId="0" applyFont="1" applyFill="1" applyBorder="1" applyAlignment="1">
      <alignment vertical="center" wrapText="1"/>
    </xf>
    <xf numFmtId="0" fontId="43" fillId="0" borderId="35"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20" xfId="0" applyFont="1" applyFill="1" applyBorder="1" applyAlignment="1">
      <alignment horizontal="center" vertical="center" wrapText="1"/>
    </xf>
    <xf numFmtId="0" fontId="43" fillId="0" borderId="20" xfId="0" applyFont="1" applyFill="1" applyBorder="1" applyAlignment="1">
      <alignment horizontal="left" vertical="center" wrapText="1"/>
    </xf>
    <xf numFmtId="0" fontId="43" fillId="0" borderId="28" xfId="0" applyFont="1" applyFill="1" applyBorder="1" applyAlignment="1">
      <alignment horizontal="center" vertical="center"/>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lignment horizontal="left" vertical="center" wrapText="1"/>
    </xf>
    <xf numFmtId="0" fontId="43" fillId="0" borderId="12" xfId="0" applyFont="1" applyFill="1" applyBorder="1" applyAlignment="1">
      <alignment horizontal="left" vertical="center" wrapText="1"/>
    </xf>
    <xf numFmtId="200" fontId="43" fillId="0" borderId="18" xfId="0" applyNumberFormat="1" applyFont="1" applyFill="1" applyBorder="1" applyAlignment="1" applyProtection="1">
      <alignment vertical="center" wrapText="1"/>
      <protection/>
    </xf>
    <xf numFmtId="0" fontId="43" fillId="0" borderId="20" xfId="0" applyFont="1" applyFill="1" applyBorder="1" applyAlignment="1">
      <alignment vertical="center" wrapText="1"/>
    </xf>
    <xf numFmtId="0" fontId="43" fillId="0" borderId="28" xfId="0" applyFont="1" applyFill="1" applyBorder="1" applyAlignment="1">
      <alignment/>
    </xf>
    <xf numFmtId="0" fontId="43" fillId="0" borderId="12" xfId="0" applyFont="1" applyFill="1" applyBorder="1" applyAlignment="1">
      <alignment/>
    </xf>
    <xf numFmtId="200" fontId="43" fillId="0" borderId="18" xfId="0" applyNumberFormat="1" applyFont="1" applyFill="1" applyBorder="1" applyAlignment="1">
      <alignment vertical="center" wrapText="1"/>
    </xf>
    <xf numFmtId="0" fontId="43" fillId="0" borderId="12" xfId="0" applyFont="1" applyFill="1" applyBorder="1" applyAlignment="1">
      <alignment horizontal="left" vertical="center" wrapText="1" shrinkToFit="1"/>
    </xf>
    <xf numFmtId="0" fontId="43" fillId="0" borderId="18" xfId="0" applyFont="1" applyFill="1" applyBorder="1" applyAlignment="1">
      <alignment horizontal="left" vertical="center" wrapText="1" shrinkToFit="1"/>
    </xf>
    <xf numFmtId="0" fontId="43" fillId="0" borderId="18" xfId="0" applyFont="1" applyFill="1" applyBorder="1" applyAlignment="1">
      <alignment horizontal="center" vertical="center"/>
    </xf>
    <xf numFmtId="0" fontId="43" fillId="0" borderId="18" xfId="0" applyFont="1" applyFill="1" applyBorder="1" applyAlignment="1">
      <alignment horizontal="center" vertical="center" wrapText="1"/>
    </xf>
    <xf numFmtId="0" fontId="43" fillId="0" borderId="28"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center" vertical="center"/>
      <protection/>
    </xf>
    <xf numFmtId="200" fontId="43" fillId="0" borderId="12" xfId="0" applyNumberFormat="1" applyFont="1" applyFill="1" applyBorder="1" applyAlignment="1">
      <alignment vertical="center" wrapText="1"/>
    </xf>
    <xf numFmtId="0" fontId="0" fillId="0" borderId="20" xfId="0" applyFill="1" applyBorder="1" applyAlignment="1">
      <alignment vertical="center" wrapText="1"/>
    </xf>
    <xf numFmtId="0" fontId="0" fillId="0" borderId="27" xfId="0" applyFill="1" applyBorder="1" applyAlignment="1">
      <alignment vertical="center" wrapText="1"/>
    </xf>
    <xf numFmtId="0" fontId="0" fillId="0" borderId="15" xfId="0" applyFill="1" applyBorder="1" applyAlignment="1">
      <alignment vertical="center" wrapText="1"/>
    </xf>
    <xf numFmtId="0" fontId="0" fillId="0" borderId="15" xfId="0" applyBorder="1" applyAlignment="1">
      <alignment vertical="center" wrapText="1"/>
    </xf>
    <xf numFmtId="200" fontId="43" fillId="0" borderId="12" xfId="0" applyNumberFormat="1" applyFont="1" applyFill="1" applyBorder="1" applyAlignment="1" applyProtection="1">
      <alignment vertical="center" wrapText="1"/>
      <protection/>
    </xf>
    <xf numFmtId="0" fontId="0" fillId="0" borderId="12" xfId="0" applyBorder="1" applyAlignment="1">
      <alignment vertical="center" wrapText="1"/>
    </xf>
    <xf numFmtId="0" fontId="0" fillId="0" borderId="17" xfId="0" applyBorder="1" applyAlignment="1">
      <alignment vertical="center" wrapText="1"/>
    </xf>
    <xf numFmtId="200" fontId="43" fillId="0" borderId="20" xfId="0" applyNumberFormat="1" applyFont="1" applyFill="1" applyBorder="1" applyAlignment="1">
      <alignment vertical="center" wrapText="1"/>
    </xf>
    <xf numFmtId="0" fontId="0" fillId="0" borderId="20" xfId="0" applyBorder="1" applyAlignment="1">
      <alignment vertical="center" wrapText="1"/>
    </xf>
    <xf numFmtId="0" fontId="0" fillId="0" borderId="27" xfId="0" applyBorder="1" applyAlignment="1">
      <alignment vertical="center" wrapText="1"/>
    </xf>
    <xf numFmtId="0" fontId="44" fillId="0" borderId="18" xfId="0" applyFont="1" applyFill="1" applyBorder="1" applyAlignment="1">
      <alignment horizontal="left" vertical="center" wrapText="1"/>
    </xf>
    <xf numFmtId="0" fontId="0" fillId="0" borderId="27" xfId="0" applyBorder="1" applyAlignment="1">
      <alignment horizontal="left" vertical="center" wrapText="1"/>
    </xf>
    <xf numFmtId="200" fontId="44" fillId="0" borderId="18" xfId="0" applyNumberFormat="1" applyFont="1" applyFill="1" applyBorder="1" applyAlignment="1">
      <alignment vertical="center" wrapText="1"/>
    </xf>
    <xf numFmtId="0" fontId="43" fillId="0" borderId="31" xfId="0" applyNumberFormat="1" applyFont="1" applyFill="1" applyBorder="1" applyAlignment="1" applyProtection="1">
      <alignment horizontal="center" vertical="center"/>
      <protection/>
    </xf>
    <xf numFmtId="0" fontId="43" fillId="0" borderId="17" xfId="0" applyNumberFormat="1" applyFont="1" applyFill="1" applyBorder="1" applyAlignment="1" applyProtection="1">
      <alignment horizontal="center" vertical="center"/>
      <protection/>
    </xf>
    <xf numFmtId="0" fontId="43" fillId="0" borderId="27" xfId="0" applyFont="1" applyFill="1" applyBorder="1" applyAlignment="1">
      <alignment horizontal="left" vertical="center" wrapText="1"/>
    </xf>
    <xf numFmtId="49" fontId="43" fillId="0" borderId="17" xfId="0" applyNumberFormat="1" applyFont="1" applyFill="1" applyBorder="1" applyAlignment="1">
      <alignment horizontal="center" vertical="center" wrapText="1"/>
    </xf>
    <xf numFmtId="0" fontId="43" fillId="0" borderId="12" xfId="0" applyFont="1" applyFill="1" applyBorder="1" applyAlignment="1">
      <alignment vertical="center"/>
    </xf>
    <xf numFmtId="0" fontId="43" fillId="0" borderId="17" xfId="0" applyFont="1" applyFill="1" applyBorder="1" applyAlignment="1">
      <alignment vertical="center"/>
    </xf>
    <xf numFmtId="0" fontId="0" fillId="0" borderId="30" xfId="0" applyBorder="1" applyAlignment="1">
      <alignment horizontal="center" vertical="center"/>
    </xf>
    <xf numFmtId="0" fontId="0" fillId="0" borderId="15" xfId="0" applyBorder="1" applyAlignment="1">
      <alignment horizontal="center" vertical="center"/>
    </xf>
    <xf numFmtId="0" fontId="43" fillId="0" borderId="30" xfId="0" applyFont="1" applyBorder="1" applyAlignment="1">
      <alignment horizontal="center" vertical="center"/>
    </xf>
    <xf numFmtId="0" fontId="43" fillId="0" borderId="15" xfId="0" applyFont="1" applyBorder="1" applyAlignment="1">
      <alignment horizontal="center" vertical="center"/>
    </xf>
    <xf numFmtId="0" fontId="43" fillId="0" borderId="15" xfId="0" applyFont="1" applyBorder="1" applyAlignment="1">
      <alignment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
      <selection activeCell="D1" sqref="D1"/>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3.33203125" style="0" bestFit="1" customWidth="1"/>
  </cols>
  <sheetData>
    <row r="1" spans="1:6" ht="64.5" customHeight="1">
      <c r="A1" s="1"/>
      <c r="B1" s="1"/>
      <c r="C1" s="1"/>
      <c r="D1" s="1"/>
      <c r="E1" s="399" t="s">
        <v>206</v>
      </c>
      <c r="F1" s="399"/>
    </row>
    <row r="2" spans="1:6" ht="12.75">
      <c r="A2" s="1"/>
      <c r="B2" s="1"/>
      <c r="C2" s="1"/>
      <c r="D2" s="1"/>
      <c r="E2" s="1"/>
      <c r="F2" s="1"/>
    </row>
    <row r="3" spans="1:6" ht="12.75">
      <c r="A3" s="1"/>
      <c r="B3" s="1"/>
      <c r="C3" s="1"/>
      <c r="D3" s="1"/>
      <c r="E3" s="1"/>
      <c r="F3" s="1"/>
    </row>
    <row r="4" spans="1:6" ht="17.25">
      <c r="A4" s="400" t="s">
        <v>355</v>
      </c>
      <c r="B4" s="400"/>
      <c r="C4" s="400"/>
      <c r="D4" s="400"/>
      <c r="E4" s="400"/>
      <c r="F4" s="400"/>
    </row>
    <row r="5" spans="1:6" ht="15">
      <c r="A5" s="401"/>
      <c r="B5" s="401"/>
      <c r="C5" s="401"/>
      <c r="D5" s="401"/>
      <c r="E5" s="401"/>
      <c r="F5" s="10" t="s">
        <v>356</v>
      </c>
    </row>
    <row r="6" spans="1:6" ht="15">
      <c r="A6" s="402" t="s">
        <v>251</v>
      </c>
      <c r="B6" s="402" t="s">
        <v>357</v>
      </c>
      <c r="C6" s="402" t="s">
        <v>254</v>
      </c>
      <c r="D6" s="402" t="s">
        <v>252</v>
      </c>
      <c r="E6" s="402" t="s">
        <v>253</v>
      </c>
      <c r="F6" s="402"/>
    </row>
    <row r="7" spans="1:6" ht="39">
      <c r="A7" s="402"/>
      <c r="B7" s="402"/>
      <c r="C7" s="402"/>
      <c r="D7" s="402"/>
      <c r="E7" s="6" t="s">
        <v>255</v>
      </c>
      <c r="F7" s="11" t="s">
        <v>256</v>
      </c>
    </row>
    <row r="8" spans="1:6" ht="15">
      <c r="A8" s="6">
        <v>1</v>
      </c>
      <c r="B8" s="12">
        <v>2</v>
      </c>
      <c r="C8" s="6">
        <v>3</v>
      </c>
      <c r="D8" s="6">
        <v>4</v>
      </c>
      <c r="E8" s="6">
        <v>5</v>
      </c>
      <c r="F8" s="11">
        <v>6</v>
      </c>
    </row>
    <row r="9" spans="1:6" ht="15">
      <c r="A9" s="392" t="s">
        <v>358</v>
      </c>
      <c r="B9" s="393"/>
      <c r="C9" s="394"/>
      <c r="D9" s="394"/>
      <c r="E9" s="394"/>
      <c r="F9" s="395"/>
    </row>
    <row r="10" spans="1:6" ht="15">
      <c r="A10" s="13">
        <v>200000</v>
      </c>
      <c r="B10" s="4" t="s">
        <v>359</v>
      </c>
      <c r="C10" s="14">
        <f>C11</f>
        <v>11735932</v>
      </c>
      <c r="D10" s="14">
        <f>D11</f>
        <v>-20108497</v>
      </c>
      <c r="E10" s="14">
        <f>E11</f>
        <v>31844429</v>
      </c>
      <c r="F10" s="14">
        <f>F11</f>
        <v>31265735</v>
      </c>
    </row>
    <row r="11" spans="1:6" ht="30.75">
      <c r="A11" s="15">
        <v>208000</v>
      </c>
      <c r="B11" s="16" t="s">
        <v>360</v>
      </c>
      <c r="C11" s="17">
        <f>C12+C13</f>
        <v>11735932</v>
      </c>
      <c r="D11" s="17">
        <f>D13+D12</f>
        <v>-20108497</v>
      </c>
      <c r="E11" s="17">
        <f>E13+E12</f>
        <v>31844429</v>
      </c>
      <c r="F11" s="17">
        <f>F13+F12</f>
        <v>31265735</v>
      </c>
    </row>
    <row r="12" spans="1:6" ht="15">
      <c r="A12" s="15">
        <v>208100</v>
      </c>
      <c r="B12" s="16" t="s">
        <v>361</v>
      </c>
      <c r="C12" s="17">
        <f>D12+E12</f>
        <v>11735932</v>
      </c>
      <c r="D12" s="17">
        <f>74450+3827995+680000+4266068</f>
        <v>8848513</v>
      </c>
      <c r="E12" s="17">
        <f>2308725+578694</f>
        <v>2887419</v>
      </c>
      <c r="F12" s="17">
        <f>1172757+400000+206126+529842</f>
        <v>2308725</v>
      </c>
    </row>
    <row r="13" spans="1:6" ht="47.25" customHeight="1">
      <c r="A13" s="15">
        <v>208400</v>
      </c>
      <c r="B13" s="16" t="s">
        <v>362</v>
      </c>
      <c r="C13" s="17"/>
      <c r="D13" s="17">
        <f>-18461605-9289271+239634-140096-74450-1106922-124300</f>
        <v>-28957010</v>
      </c>
      <c r="E13" s="17">
        <f>F13</f>
        <v>28957010</v>
      </c>
      <c r="F13" s="17">
        <f>18461605+9289271-239634+140096+74450+1106922+124300</f>
        <v>28957010</v>
      </c>
    </row>
    <row r="14" spans="1:6" ht="15">
      <c r="A14" s="18" t="s">
        <v>354</v>
      </c>
      <c r="B14" s="19" t="s">
        <v>363</v>
      </c>
      <c r="C14" s="20">
        <f>C10</f>
        <v>11735932</v>
      </c>
      <c r="D14" s="20">
        <f>D10</f>
        <v>-20108497</v>
      </c>
      <c r="E14" s="20">
        <f>E10</f>
        <v>31844429</v>
      </c>
      <c r="F14" s="20">
        <f>F10</f>
        <v>31265735</v>
      </c>
    </row>
    <row r="15" spans="1:6" ht="12.75">
      <c r="A15" s="396" t="s">
        <v>364</v>
      </c>
      <c r="B15" s="397"/>
      <c r="C15" s="397"/>
      <c r="D15" s="397"/>
      <c r="E15" s="397"/>
      <c r="F15" s="398"/>
    </row>
    <row r="16" spans="1:6" ht="15">
      <c r="A16" s="15">
        <v>600000</v>
      </c>
      <c r="B16" s="16" t="s">
        <v>365</v>
      </c>
      <c r="C16" s="17">
        <f>D16+E16</f>
        <v>11735932</v>
      </c>
      <c r="D16" s="17">
        <f>D17</f>
        <v>-20108497</v>
      </c>
      <c r="E16" s="17">
        <f>E17</f>
        <v>31844429</v>
      </c>
      <c r="F16" s="17">
        <f>F17</f>
        <v>31265735</v>
      </c>
    </row>
    <row r="17" spans="1:6" ht="15">
      <c r="A17" s="15">
        <v>602000</v>
      </c>
      <c r="B17" s="16" t="s">
        <v>366</v>
      </c>
      <c r="C17" s="17">
        <f>C18+C19</f>
        <v>11735932</v>
      </c>
      <c r="D17" s="17">
        <f>D19+D18</f>
        <v>-20108497</v>
      </c>
      <c r="E17" s="17">
        <f>E19+E18</f>
        <v>31844429</v>
      </c>
      <c r="F17" s="17">
        <f>F19+F18</f>
        <v>31265735</v>
      </c>
    </row>
    <row r="18" spans="1:6" ht="15">
      <c r="A18" s="15">
        <v>602100</v>
      </c>
      <c r="B18" s="16" t="s">
        <v>361</v>
      </c>
      <c r="C18" s="17">
        <f>D18+E18</f>
        <v>11735932</v>
      </c>
      <c r="D18" s="17">
        <f>74450+3827995+680000+4266068</f>
        <v>8848513</v>
      </c>
      <c r="E18" s="17">
        <f>2308725+578694</f>
        <v>2887419</v>
      </c>
      <c r="F18" s="17">
        <f>1172757+400000+206126+529842</f>
        <v>2308725</v>
      </c>
    </row>
    <row r="19" spans="1:6" ht="47.25" customHeight="1">
      <c r="A19" s="15">
        <v>602400</v>
      </c>
      <c r="B19" s="16" t="s">
        <v>362</v>
      </c>
      <c r="C19" s="17"/>
      <c r="D19" s="17">
        <f>-18461605-9289271+239634-140096-74450-1106922-124300</f>
        <v>-28957010</v>
      </c>
      <c r="E19" s="17">
        <f>F19</f>
        <v>28957010</v>
      </c>
      <c r="F19" s="17">
        <f>18461605+9289271-239634+140096+74450+1106922+124300</f>
        <v>28957010</v>
      </c>
    </row>
    <row r="20" spans="1:6" ht="15">
      <c r="A20" s="18" t="s">
        <v>354</v>
      </c>
      <c r="B20" s="19" t="s">
        <v>363</v>
      </c>
      <c r="C20" s="20">
        <f>C17</f>
        <v>11735932</v>
      </c>
      <c r="D20" s="20">
        <f>D17</f>
        <v>-20108497</v>
      </c>
      <c r="E20" s="20">
        <f>E17</f>
        <v>31844429</v>
      </c>
      <c r="F20" s="20">
        <f>F17</f>
        <v>31265735</v>
      </c>
    </row>
    <row r="21" spans="1:6" ht="15">
      <c r="A21" s="21"/>
      <c r="B21" s="22"/>
      <c r="C21" s="23"/>
      <c r="D21" s="24"/>
      <c r="E21" s="24"/>
      <c r="F21" s="24"/>
    </row>
    <row r="22" spans="1:6" ht="12.75">
      <c r="A22" s="25"/>
      <c r="B22" s="25"/>
      <c r="C22" s="25"/>
      <c r="D22" s="25"/>
      <c r="E22" s="25"/>
      <c r="F22" s="25"/>
    </row>
    <row r="23" spans="1:6" ht="12.75">
      <c r="A23" s="1"/>
      <c r="B23" s="1"/>
      <c r="C23" s="1"/>
      <c r="D23" s="1"/>
      <c r="E23" s="1"/>
      <c r="F23" s="1"/>
    </row>
    <row r="24" spans="1:6" ht="15">
      <c r="A24" s="4" t="s">
        <v>350</v>
      </c>
      <c r="B24" s="1"/>
      <c r="C24" s="1"/>
      <c r="D24" s="1"/>
      <c r="E24" s="5"/>
      <c r="F24" s="360" t="s">
        <v>351</v>
      </c>
    </row>
    <row r="25" spans="1:6" ht="12.75">
      <c r="A25" s="1"/>
      <c r="B25" s="1"/>
      <c r="C25" s="1"/>
      <c r="D25" s="1"/>
      <c r="E25" s="1"/>
      <c r="F25"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5118110236220472"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M304"/>
  <sheetViews>
    <sheetView zoomScale="40" zoomScaleNormal="40" zoomScalePageLayoutView="0" workbookViewId="0" topLeftCell="A1">
      <selection activeCell="O1" sqref="O1:P1"/>
    </sheetView>
  </sheetViews>
  <sheetFormatPr defaultColWidth="9.33203125" defaultRowHeight="12.75"/>
  <cols>
    <col min="1" max="1" width="16.83203125" style="26" customWidth="1"/>
    <col min="2" max="2" width="16.66015625" style="106" customWidth="1"/>
    <col min="3" max="3" width="17.83203125" style="106" customWidth="1"/>
    <col min="4" max="4" width="58.16015625" style="3" customWidth="1"/>
    <col min="5" max="5" width="16.83203125" style="2" customWidth="1"/>
    <col min="6" max="6" width="17.5" style="2" customWidth="1"/>
    <col min="7" max="7" width="16.83203125" style="2" customWidth="1"/>
    <col min="8" max="8" width="15.83203125" style="2" customWidth="1"/>
    <col min="9" max="9" width="12.16015625" style="2" customWidth="1"/>
    <col min="10" max="11" width="15.83203125" style="2" customWidth="1"/>
    <col min="12" max="12" width="15.33203125" style="2" customWidth="1"/>
    <col min="13" max="13" width="13.5" style="2" customWidth="1"/>
    <col min="14" max="14" width="14" style="2" customWidth="1"/>
    <col min="15" max="15" width="15.66015625" style="2" customWidth="1"/>
    <col min="16" max="16" width="16.5" style="2" customWidth="1"/>
    <col min="17" max="17" width="14.5" style="28" bestFit="1" customWidth="1"/>
    <col min="18" max="18" width="17.83203125" style="28" customWidth="1"/>
    <col min="19" max="19" width="14.33203125" style="28" bestFit="1" customWidth="1"/>
    <col min="20" max="25" width="9.33203125" style="28" customWidth="1"/>
    <col min="26" max="26" width="7.83203125" style="28" bestFit="1" customWidth="1"/>
    <col min="27" max="27" width="10.5" style="28" bestFit="1" customWidth="1"/>
    <col min="28" max="28" width="13.16015625" style="28" bestFit="1" customWidth="1"/>
    <col min="29" max="29" width="11.83203125" style="28" bestFit="1" customWidth="1"/>
    <col min="30" max="31" width="9.33203125" style="28" customWidth="1"/>
    <col min="32" max="32" width="11.83203125" style="28" bestFit="1" customWidth="1"/>
    <col min="33" max="16384" width="9.33203125" style="28" customWidth="1"/>
  </cols>
  <sheetData>
    <row r="1" spans="2:16" ht="70.5" customHeight="1">
      <c r="B1" s="27"/>
      <c r="C1" s="27"/>
      <c r="O1" s="399" t="s">
        <v>205</v>
      </c>
      <c r="P1" s="399"/>
    </row>
    <row r="2" spans="2:15" ht="15">
      <c r="B2" s="27"/>
      <c r="C2" s="27"/>
      <c r="O2" s="30"/>
    </row>
    <row r="3" spans="2:15" ht="15">
      <c r="B3" s="27"/>
      <c r="C3" s="27"/>
      <c r="O3" s="30"/>
    </row>
    <row r="4" spans="2:16" ht="18">
      <c r="B4" s="376" t="s">
        <v>367</v>
      </c>
      <c r="C4" s="376"/>
      <c r="D4" s="377"/>
      <c r="E4" s="377"/>
      <c r="F4" s="377"/>
      <c r="G4" s="377"/>
      <c r="H4" s="377"/>
      <c r="I4" s="377"/>
      <c r="J4" s="377"/>
      <c r="K4" s="377"/>
      <c r="L4" s="377"/>
      <c r="M4" s="377"/>
      <c r="N4" s="377"/>
      <c r="O4" s="377"/>
      <c r="P4" s="377"/>
    </row>
    <row r="5" spans="2:16" ht="17.25">
      <c r="B5" s="376"/>
      <c r="C5" s="376"/>
      <c r="D5" s="376"/>
      <c r="E5" s="376"/>
      <c r="F5" s="376"/>
      <c r="G5" s="376"/>
      <c r="H5" s="376"/>
      <c r="I5" s="376"/>
      <c r="J5" s="376"/>
      <c r="K5" s="376"/>
      <c r="L5" s="376"/>
      <c r="M5" s="376"/>
      <c r="N5" s="376"/>
      <c r="O5" s="376"/>
      <c r="P5" s="376"/>
    </row>
    <row r="6" spans="2:16" ht="18" thickBot="1">
      <c r="B6" s="32"/>
      <c r="C6" s="32"/>
      <c r="D6" s="33"/>
      <c r="P6" s="31" t="s">
        <v>356</v>
      </c>
    </row>
    <row r="7" spans="1:16" ht="13.5">
      <c r="A7" s="405" t="s">
        <v>368</v>
      </c>
      <c r="B7" s="407" t="s">
        <v>369</v>
      </c>
      <c r="C7" s="407" t="s">
        <v>370</v>
      </c>
      <c r="D7" s="403" t="s">
        <v>371</v>
      </c>
      <c r="E7" s="403" t="s">
        <v>252</v>
      </c>
      <c r="F7" s="403"/>
      <c r="G7" s="403"/>
      <c r="H7" s="403"/>
      <c r="I7" s="403"/>
      <c r="J7" s="403" t="s">
        <v>253</v>
      </c>
      <c r="K7" s="403"/>
      <c r="L7" s="403"/>
      <c r="M7" s="403"/>
      <c r="N7" s="403"/>
      <c r="O7" s="403"/>
      <c r="P7" s="378" t="s">
        <v>372</v>
      </c>
    </row>
    <row r="8" spans="1:16" ht="13.5">
      <c r="A8" s="406"/>
      <c r="B8" s="404"/>
      <c r="C8" s="408"/>
      <c r="D8" s="404"/>
      <c r="E8" s="404" t="s">
        <v>255</v>
      </c>
      <c r="F8" s="404" t="s">
        <v>373</v>
      </c>
      <c r="G8" s="404" t="s">
        <v>374</v>
      </c>
      <c r="H8" s="404"/>
      <c r="I8" s="404" t="s">
        <v>375</v>
      </c>
      <c r="J8" s="404" t="s">
        <v>255</v>
      </c>
      <c r="K8" s="404" t="s">
        <v>256</v>
      </c>
      <c r="L8" s="404" t="s">
        <v>373</v>
      </c>
      <c r="M8" s="404" t="s">
        <v>374</v>
      </c>
      <c r="N8" s="404"/>
      <c r="O8" s="404" t="s">
        <v>375</v>
      </c>
      <c r="P8" s="379"/>
    </row>
    <row r="9" spans="1:16" ht="12.75" customHeight="1">
      <c r="A9" s="406"/>
      <c r="B9" s="404"/>
      <c r="C9" s="408"/>
      <c r="D9" s="404"/>
      <c r="E9" s="404"/>
      <c r="F9" s="404"/>
      <c r="G9" s="404" t="s">
        <v>376</v>
      </c>
      <c r="H9" s="404" t="s">
        <v>377</v>
      </c>
      <c r="I9" s="380"/>
      <c r="J9" s="404"/>
      <c r="K9" s="404"/>
      <c r="L9" s="404"/>
      <c r="M9" s="404" t="s">
        <v>376</v>
      </c>
      <c r="N9" s="404" t="s">
        <v>377</v>
      </c>
      <c r="O9" s="404"/>
      <c r="P9" s="379"/>
    </row>
    <row r="10" spans="1:16" ht="12.75" customHeight="1">
      <c r="A10" s="406"/>
      <c r="B10" s="404"/>
      <c r="C10" s="408"/>
      <c r="D10" s="404"/>
      <c r="E10" s="404"/>
      <c r="F10" s="404"/>
      <c r="G10" s="404"/>
      <c r="H10" s="404"/>
      <c r="I10" s="380"/>
      <c r="J10" s="404"/>
      <c r="K10" s="404"/>
      <c r="L10" s="404"/>
      <c r="M10" s="404"/>
      <c r="N10" s="404"/>
      <c r="O10" s="404"/>
      <c r="P10" s="379"/>
    </row>
    <row r="11" spans="1:16" ht="48.75" customHeight="1">
      <c r="A11" s="406"/>
      <c r="B11" s="404"/>
      <c r="C11" s="408"/>
      <c r="D11" s="404"/>
      <c r="E11" s="404"/>
      <c r="F11" s="404"/>
      <c r="G11" s="404"/>
      <c r="H11" s="404"/>
      <c r="I11" s="380"/>
      <c r="J11" s="404"/>
      <c r="K11" s="404"/>
      <c r="L11" s="404"/>
      <c r="M11" s="404"/>
      <c r="N11" s="404"/>
      <c r="O11" s="404"/>
      <c r="P11" s="379"/>
    </row>
    <row r="12" spans="1:16" ht="13.5">
      <c r="A12" s="272" t="s">
        <v>378</v>
      </c>
      <c r="B12" s="34">
        <v>2</v>
      </c>
      <c r="C12" s="35">
        <v>3</v>
      </c>
      <c r="D12" s="34">
        <v>4</v>
      </c>
      <c r="E12" s="34">
        <v>5</v>
      </c>
      <c r="F12" s="34">
        <v>6</v>
      </c>
      <c r="G12" s="34">
        <v>7</v>
      </c>
      <c r="H12" s="34">
        <v>8</v>
      </c>
      <c r="I12" s="34">
        <v>9</v>
      </c>
      <c r="J12" s="34">
        <v>10</v>
      </c>
      <c r="K12" s="34">
        <v>11</v>
      </c>
      <c r="L12" s="34">
        <v>12</v>
      </c>
      <c r="M12" s="34">
        <v>13</v>
      </c>
      <c r="N12" s="34">
        <v>14</v>
      </c>
      <c r="O12" s="34">
        <v>15</v>
      </c>
      <c r="P12" s="273">
        <v>16</v>
      </c>
    </row>
    <row r="13" spans="1:17" s="40" customFormat="1" ht="34.5">
      <c r="A13" s="274" t="s">
        <v>379</v>
      </c>
      <c r="B13" s="36"/>
      <c r="C13" s="36"/>
      <c r="D13" s="37" t="s">
        <v>380</v>
      </c>
      <c r="E13" s="38">
        <f>E14</f>
        <v>126506528</v>
      </c>
      <c r="F13" s="38">
        <f aca="true" t="shared" si="0" ref="F13:O13">F14</f>
        <v>126506528</v>
      </c>
      <c r="G13" s="38">
        <f t="shared" si="0"/>
        <v>16796971</v>
      </c>
      <c r="H13" s="38">
        <f t="shared" si="0"/>
        <v>975991</v>
      </c>
      <c r="I13" s="38"/>
      <c r="J13" s="38">
        <f t="shared" si="0"/>
        <v>24191411</v>
      </c>
      <c r="K13" s="38">
        <f t="shared" si="0"/>
        <v>20784753</v>
      </c>
      <c r="L13" s="38">
        <f t="shared" si="0"/>
        <v>3126658</v>
      </c>
      <c r="M13" s="38">
        <f t="shared" si="0"/>
        <v>19461</v>
      </c>
      <c r="N13" s="38">
        <f t="shared" si="0"/>
        <v>4786</v>
      </c>
      <c r="O13" s="38">
        <f t="shared" si="0"/>
        <v>21064753</v>
      </c>
      <c r="P13" s="275">
        <f>P14</f>
        <v>150697939</v>
      </c>
      <c r="Q13" s="39"/>
    </row>
    <row r="14" spans="1:17" s="40" customFormat="1" ht="34.5">
      <c r="A14" s="274" t="s">
        <v>381</v>
      </c>
      <c r="B14" s="36"/>
      <c r="C14" s="36"/>
      <c r="D14" s="37" t="s">
        <v>380</v>
      </c>
      <c r="E14" s="38">
        <f>E15+E19+E21+E28+E32+E39+E41+E44+E45+E46+E47+E48+E49+E50+E51+E54+E55+E57+E58+E59+E61+E62+E64+E65+E67+E70+E71+E72+E73+E56+E43+E60</f>
        <v>126506528</v>
      </c>
      <c r="F14" s="38">
        <f aca="true" t="shared" si="1" ref="F14:O14">F15+F19+F21+F28+F32+F39+F41+F44+F45+F46+F47+F48+F49+F50+F51+F54+F55+F57+F58+F59+F61+F62+F64+F65+F67+F70+F71+F72+F73+F56+F43+F60</f>
        <v>126506528</v>
      </c>
      <c r="G14" s="38">
        <f t="shared" si="1"/>
        <v>16796971</v>
      </c>
      <c r="H14" s="38">
        <f t="shared" si="1"/>
        <v>975991</v>
      </c>
      <c r="I14" s="38"/>
      <c r="J14" s="38">
        <f t="shared" si="1"/>
        <v>24191411</v>
      </c>
      <c r="K14" s="38">
        <f t="shared" si="1"/>
        <v>20784753</v>
      </c>
      <c r="L14" s="38">
        <f t="shared" si="1"/>
        <v>3126658</v>
      </c>
      <c r="M14" s="38">
        <f t="shared" si="1"/>
        <v>19461</v>
      </c>
      <c r="N14" s="38">
        <f t="shared" si="1"/>
        <v>4786</v>
      </c>
      <c r="O14" s="38">
        <f t="shared" si="1"/>
        <v>21064753</v>
      </c>
      <c r="P14" s="275">
        <f>E14+J14</f>
        <v>150697939</v>
      </c>
      <c r="Q14" s="39"/>
    </row>
    <row r="15" spans="1:17" s="40" customFormat="1" ht="114" customHeight="1">
      <c r="A15" s="276" t="s">
        <v>382</v>
      </c>
      <c r="B15" s="41" t="s">
        <v>383</v>
      </c>
      <c r="C15" s="41" t="s">
        <v>384</v>
      </c>
      <c r="D15" s="42" t="s">
        <v>385</v>
      </c>
      <c r="E15" s="43">
        <f>E17+E18</f>
        <v>18417456</v>
      </c>
      <c r="F15" s="43">
        <f aca="true" t="shared" si="2" ref="F15:O15">F17+F18</f>
        <v>18417456</v>
      </c>
      <c r="G15" s="43">
        <f t="shared" si="2"/>
        <v>16170671</v>
      </c>
      <c r="H15" s="43">
        <f t="shared" si="2"/>
        <v>914213</v>
      </c>
      <c r="I15" s="43"/>
      <c r="J15" s="43">
        <f t="shared" si="2"/>
        <v>375221</v>
      </c>
      <c r="K15" s="43">
        <f t="shared" si="2"/>
        <v>370221</v>
      </c>
      <c r="L15" s="43">
        <f t="shared" si="2"/>
        <v>5000</v>
      </c>
      <c r="M15" s="43"/>
      <c r="N15" s="43"/>
      <c r="O15" s="43">
        <f t="shared" si="2"/>
        <v>370221</v>
      </c>
      <c r="P15" s="275">
        <f>E15+J15</f>
        <v>18792677</v>
      </c>
      <c r="Q15" s="39"/>
    </row>
    <row r="16" spans="1:39" s="40" customFormat="1" ht="18">
      <c r="A16" s="276"/>
      <c r="B16" s="41"/>
      <c r="C16" s="41"/>
      <c r="D16" s="42" t="s">
        <v>386</v>
      </c>
      <c r="E16" s="43"/>
      <c r="F16" s="43"/>
      <c r="G16" s="43"/>
      <c r="H16" s="43"/>
      <c r="I16" s="43"/>
      <c r="J16" s="43"/>
      <c r="K16" s="43"/>
      <c r="L16" s="43"/>
      <c r="M16" s="43"/>
      <c r="N16" s="43"/>
      <c r="O16" s="43"/>
      <c r="P16" s="275"/>
      <c r="Q16" s="39"/>
      <c r="R16" s="39"/>
      <c r="S16" s="39"/>
      <c r="T16" s="39"/>
      <c r="U16" s="39"/>
      <c r="V16" s="39"/>
      <c r="W16" s="39"/>
      <c r="X16" s="39"/>
      <c r="Y16" s="39"/>
      <c r="Z16" s="39"/>
      <c r="AA16" s="39"/>
      <c r="AB16" s="39"/>
      <c r="AC16" s="39"/>
      <c r="AD16" s="39"/>
      <c r="AE16" s="39"/>
      <c r="AF16" s="39"/>
      <c r="AG16" s="39"/>
      <c r="AH16" s="39"/>
      <c r="AI16" s="39"/>
      <c r="AJ16" s="39"/>
      <c r="AK16" s="39"/>
      <c r="AL16" s="39"/>
      <c r="AM16" s="39"/>
    </row>
    <row r="17" spans="1:17" s="40" customFormat="1" ht="36">
      <c r="A17" s="276"/>
      <c r="B17" s="41"/>
      <c r="C17" s="41"/>
      <c r="D17" s="44" t="s">
        <v>387</v>
      </c>
      <c r="E17" s="43">
        <f>F17</f>
        <v>16657545</v>
      </c>
      <c r="F17" s="43">
        <f>16565703+37626+54216</f>
        <v>16657545</v>
      </c>
      <c r="G17" s="43">
        <v>14876224</v>
      </c>
      <c r="H17" s="43">
        <f>666883+3608</f>
        <v>670491</v>
      </c>
      <c r="I17" s="43"/>
      <c r="J17" s="43">
        <f>O17+L17</f>
        <v>354221</v>
      </c>
      <c r="K17" s="43">
        <f>200000+106581+47640</f>
        <v>354221</v>
      </c>
      <c r="L17" s="43"/>
      <c r="M17" s="43"/>
      <c r="N17" s="43"/>
      <c r="O17" s="43">
        <f>K17</f>
        <v>354221</v>
      </c>
      <c r="P17" s="275">
        <f>E17+J17</f>
        <v>17011766</v>
      </c>
      <c r="Q17" s="39"/>
    </row>
    <row r="18" spans="1:17" s="40" customFormat="1" ht="36">
      <c r="A18" s="276"/>
      <c r="B18" s="41"/>
      <c r="C18" s="41"/>
      <c r="D18" s="44" t="s">
        <v>388</v>
      </c>
      <c r="E18" s="43">
        <f>F18</f>
        <v>1759911</v>
      </c>
      <c r="F18" s="43">
        <f>1759911</f>
        <v>1759911</v>
      </c>
      <c r="G18" s="43">
        <v>1294447</v>
      </c>
      <c r="H18" s="43">
        <f>242891+831</f>
        <v>243722</v>
      </c>
      <c r="I18" s="43"/>
      <c r="J18" s="43">
        <f>K18+L18</f>
        <v>21000</v>
      </c>
      <c r="K18" s="43">
        <v>16000</v>
      </c>
      <c r="L18" s="43">
        <v>5000</v>
      </c>
      <c r="M18" s="43"/>
      <c r="N18" s="43"/>
      <c r="O18" s="43">
        <f>K18</f>
        <v>16000</v>
      </c>
      <c r="P18" s="275">
        <f>E18+J18</f>
        <v>1780911</v>
      </c>
      <c r="Q18" s="39"/>
    </row>
    <row r="19" spans="1:17" s="40" customFormat="1" ht="36">
      <c r="A19" s="276" t="s">
        <v>389</v>
      </c>
      <c r="B19" s="41" t="s">
        <v>390</v>
      </c>
      <c r="C19" s="41" t="s">
        <v>391</v>
      </c>
      <c r="D19" s="44" t="s">
        <v>392</v>
      </c>
      <c r="E19" s="43">
        <f>E20</f>
        <v>691356</v>
      </c>
      <c r="F19" s="43">
        <f aca="true" t="shared" si="3" ref="F19:O19">F20</f>
        <v>691356</v>
      </c>
      <c r="G19" s="43">
        <f t="shared" si="3"/>
        <v>626300</v>
      </c>
      <c r="H19" s="43">
        <f t="shared" si="3"/>
        <v>61778</v>
      </c>
      <c r="I19" s="43"/>
      <c r="J19" s="43">
        <f>K19+L19</f>
        <v>350000</v>
      </c>
      <c r="K19" s="43">
        <f t="shared" si="3"/>
        <v>300000</v>
      </c>
      <c r="L19" s="43">
        <f t="shared" si="3"/>
        <v>50000</v>
      </c>
      <c r="M19" s="43">
        <f t="shared" si="3"/>
        <v>19461</v>
      </c>
      <c r="N19" s="43">
        <f t="shared" si="3"/>
        <v>4786</v>
      </c>
      <c r="O19" s="43">
        <f t="shared" si="3"/>
        <v>300000</v>
      </c>
      <c r="P19" s="275">
        <f aca="true" t="shared" si="4" ref="P19:P86">E19+J19</f>
        <v>1041356</v>
      </c>
      <c r="Q19" s="39"/>
    </row>
    <row r="20" spans="1:17" s="40" customFormat="1" ht="36">
      <c r="A20" s="277"/>
      <c r="B20" s="45"/>
      <c r="C20" s="45"/>
      <c r="D20" s="44" t="s">
        <v>393</v>
      </c>
      <c r="E20" s="43">
        <f>F20</f>
        <v>691356</v>
      </c>
      <c r="F20" s="43">
        <f>321+3714+G20+H20-757</f>
        <v>691356</v>
      </c>
      <c r="G20" s="43">
        <f>513902+112398</f>
        <v>626300</v>
      </c>
      <c r="H20" s="43">
        <f>61021+757</f>
        <v>61778</v>
      </c>
      <c r="I20" s="43"/>
      <c r="J20" s="43">
        <f>K20+L20</f>
        <v>350000</v>
      </c>
      <c r="K20" s="43">
        <v>300000</v>
      </c>
      <c r="L20" s="43">
        <f>25753+M20+N20</f>
        <v>50000</v>
      </c>
      <c r="M20" s="43">
        <f>15951+3510</f>
        <v>19461</v>
      </c>
      <c r="N20" s="43">
        <v>4786</v>
      </c>
      <c r="O20" s="43">
        <f>K20</f>
        <v>300000</v>
      </c>
      <c r="P20" s="275">
        <f t="shared" si="4"/>
        <v>1041356</v>
      </c>
      <c r="Q20" s="39"/>
    </row>
    <row r="21" spans="1:17" s="40" customFormat="1" ht="36">
      <c r="A21" s="276" t="s">
        <v>394</v>
      </c>
      <c r="B21" s="41" t="s">
        <v>395</v>
      </c>
      <c r="C21" s="41" t="s">
        <v>396</v>
      </c>
      <c r="D21" s="44" t="s">
        <v>397</v>
      </c>
      <c r="E21" s="43">
        <f>E23+E25+E26+E27</f>
        <v>65131596</v>
      </c>
      <c r="F21" s="43">
        <f aca="true" t="shared" si="5" ref="F21:O21">F23+F25+F26+F27</f>
        <v>65131596</v>
      </c>
      <c r="G21" s="43"/>
      <c r="H21" s="43"/>
      <c r="I21" s="43"/>
      <c r="J21" s="43">
        <f t="shared" si="5"/>
        <v>4510048</v>
      </c>
      <c r="K21" s="43">
        <f t="shared" si="5"/>
        <v>1861984</v>
      </c>
      <c r="L21" s="43">
        <f t="shared" si="5"/>
        <v>2648064</v>
      </c>
      <c r="M21" s="43"/>
      <c r="N21" s="43"/>
      <c r="O21" s="43">
        <f t="shared" si="5"/>
        <v>1861984</v>
      </c>
      <c r="P21" s="275">
        <f t="shared" si="4"/>
        <v>69641644</v>
      </c>
      <c r="Q21" s="39"/>
    </row>
    <row r="22" spans="1:17" s="40" customFormat="1" ht="18" hidden="1">
      <c r="A22" s="276"/>
      <c r="B22" s="41"/>
      <c r="C22" s="41"/>
      <c r="D22" s="44" t="s">
        <v>386</v>
      </c>
      <c r="E22" s="43"/>
      <c r="F22" s="43"/>
      <c r="G22" s="43"/>
      <c r="H22" s="43"/>
      <c r="I22" s="43"/>
      <c r="J22" s="43"/>
      <c r="K22" s="43"/>
      <c r="L22" s="43"/>
      <c r="M22" s="43"/>
      <c r="N22" s="43"/>
      <c r="O22" s="43"/>
      <c r="P22" s="275">
        <f t="shared" si="4"/>
        <v>0</v>
      </c>
      <c r="Q22" s="39"/>
    </row>
    <row r="23" spans="1:17" s="40" customFormat="1" ht="26.25" customHeight="1" hidden="1">
      <c r="A23" s="276"/>
      <c r="B23" s="41"/>
      <c r="C23" s="41"/>
      <c r="D23" s="44" t="s">
        <v>398</v>
      </c>
      <c r="E23" s="43">
        <f>F23</f>
        <v>49518000</v>
      </c>
      <c r="F23" s="43">
        <v>49518000</v>
      </c>
      <c r="G23" s="43"/>
      <c r="H23" s="43"/>
      <c r="I23" s="43"/>
      <c r="J23" s="46"/>
      <c r="K23" s="46"/>
      <c r="L23" s="46"/>
      <c r="M23" s="43"/>
      <c r="N23" s="43"/>
      <c r="O23" s="43"/>
      <c r="P23" s="275">
        <f t="shared" si="4"/>
        <v>49518000</v>
      </c>
      <c r="Q23" s="39"/>
    </row>
    <row r="24" spans="1:17" s="40" customFormat="1" ht="95.25" customHeight="1" hidden="1">
      <c r="A24" s="276"/>
      <c r="B24" s="41"/>
      <c r="C24" s="41"/>
      <c r="D24" s="44" t="s">
        <v>399</v>
      </c>
      <c r="E24" s="43"/>
      <c r="F24" s="43"/>
      <c r="G24" s="43"/>
      <c r="H24" s="43"/>
      <c r="I24" s="43"/>
      <c r="J24" s="46"/>
      <c r="K24" s="46"/>
      <c r="L24" s="46"/>
      <c r="M24" s="43"/>
      <c r="N24" s="43"/>
      <c r="O24" s="43"/>
      <c r="P24" s="275">
        <f t="shared" si="4"/>
        <v>0</v>
      </c>
      <c r="Q24" s="39"/>
    </row>
    <row r="25" spans="1:17" s="40" customFormat="1" ht="54" hidden="1">
      <c r="A25" s="276"/>
      <c r="B25" s="41"/>
      <c r="C25" s="41"/>
      <c r="D25" s="47" t="s">
        <v>400</v>
      </c>
      <c r="E25" s="43">
        <f>F25</f>
        <v>98700</v>
      </c>
      <c r="F25" s="43">
        <f>213300-114600</f>
        <v>98700</v>
      </c>
      <c r="G25" s="43"/>
      <c r="H25" s="43"/>
      <c r="I25" s="43"/>
      <c r="J25" s="46"/>
      <c r="K25" s="46"/>
      <c r="L25" s="46"/>
      <c r="M25" s="43"/>
      <c r="N25" s="43"/>
      <c r="O25" s="43"/>
      <c r="P25" s="275">
        <f t="shared" si="4"/>
        <v>98700</v>
      </c>
      <c r="Q25" s="39"/>
    </row>
    <row r="26" spans="1:17" s="40" customFormat="1" ht="90" hidden="1">
      <c r="A26" s="276"/>
      <c r="B26" s="41"/>
      <c r="C26" s="41"/>
      <c r="D26" s="48" t="s">
        <v>399</v>
      </c>
      <c r="E26" s="43">
        <f>F26</f>
        <v>3448400</v>
      </c>
      <c r="F26" s="43">
        <f>4042300-593900</f>
        <v>3448400</v>
      </c>
      <c r="G26" s="43"/>
      <c r="H26" s="43"/>
      <c r="I26" s="43"/>
      <c r="J26" s="46"/>
      <c r="K26" s="46"/>
      <c r="L26" s="46"/>
      <c r="M26" s="43"/>
      <c r="N26" s="43"/>
      <c r="O26" s="43"/>
      <c r="P26" s="275">
        <f t="shared" si="4"/>
        <v>3448400</v>
      </c>
      <c r="Q26" s="39"/>
    </row>
    <row r="27" spans="1:17" s="40" customFormat="1" ht="18" hidden="1">
      <c r="A27" s="276"/>
      <c r="B27" s="41"/>
      <c r="C27" s="41"/>
      <c r="D27" s="44" t="s">
        <v>401</v>
      </c>
      <c r="E27" s="43">
        <f>F27</f>
        <v>12066496</v>
      </c>
      <c r="F27" s="43">
        <f>10100000+1557566-707400+132000+593900+193000+146000+51430</f>
        <v>12066496</v>
      </c>
      <c r="G27" s="43"/>
      <c r="H27" s="43"/>
      <c r="I27" s="43"/>
      <c r="J27" s="43">
        <f>O27+L27</f>
        <v>4510048</v>
      </c>
      <c r="K27" s="43">
        <f>1579984+168000+114000</f>
        <v>1861984</v>
      </c>
      <c r="L27" s="43">
        <v>2648064</v>
      </c>
      <c r="M27" s="43"/>
      <c r="N27" s="43"/>
      <c r="O27" s="43">
        <f>K27</f>
        <v>1861984</v>
      </c>
      <c r="P27" s="275">
        <f t="shared" si="4"/>
        <v>16576544</v>
      </c>
      <c r="Q27" s="39"/>
    </row>
    <row r="28" spans="1:17" s="40" customFormat="1" ht="36">
      <c r="A28" s="276" t="s">
        <v>402</v>
      </c>
      <c r="B28" s="41" t="s">
        <v>403</v>
      </c>
      <c r="C28" s="41" t="s">
        <v>404</v>
      </c>
      <c r="D28" s="44" t="s">
        <v>405</v>
      </c>
      <c r="E28" s="43">
        <f>E30</f>
        <v>459900</v>
      </c>
      <c r="F28" s="43">
        <f>F30</f>
        <v>459900</v>
      </c>
      <c r="G28" s="43"/>
      <c r="H28" s="43"/>
      <c r="I28" s="43"/>
      <c r="J28" s="43"/>
      <c r="K28" s="43"/>
      <c r="L28" s="43"/>
      <c r="M28" s="43"/>
      <c r="N28" s="43"/>
      <c r="O28" s="43"/>
      <c r="P28" s="275">
        <f t="shared" si="4"/>
        <v>459900</v>
      </c>
      <c r="Q28" s="39"/>
    </row>
    <row r="29" spans="1:17" s="40" customFormat="1" ht="18" hidden="1">
      <c r="A29" s="276"/>
      <c r="B29" s="41"/>
      <c r="C29" s="41"/>
      <c r="D29" s="44" t="s">
        <v>386</v>
      </c>
      <c r="E29" s="43"/>
      <c r="F29" s="43"/>
      <c r="G29" s="43"/>
      <c r="H29" s="43"/>
      <c r="I29" s="43"/>
      <c r="J29" s="43"/>
      <c r="K29" s="43"/>
      <c r="L29" s="43"/>
      <c r="M29" s="43"/>
      <c r="N29" s="43"/>
      <c r="O29" s="43"/>
      <c r="P29" s="275"/>
      <c r="Q29" s="39"/>
    </row>
    <row r="30" spans="1:17" s="40" customFormat="1" ht="100.5" customHeight="1" hidden="1">
      <c r="A30" s="276"/>
      <c r="B30" s="41"/>
      <c r="C30" s="41"/>
      <c r="D30" s="44" t="s">
        <v>406</v>
      </c>
      <c r="E30" s="43">
        <f>F30</f>
        <v>459900</v>
      </c>
      <c r="F30" s="43">
        <v>459900</v>
      </c>
      <c r="G30" s="43"/>
      <c r="H30" s="43"/>
      <c r="I30" s="43"/>
      <c r="J30" s="43"/>
      <c r="K30" s="43"/>
      <c r="L30" s="43"/>
      <c r="M30" s="43"/>
      <c r="N30" s="43"/>
      <c r="O30" s="43"/>
      <c r="P30" s="275">
        <f t="shared" si="4"/>
        <v>459900</v>
      </c>
      <c r="Q30" s="39"/>
    </row>
    <row r="31" spans="1:17" s="50" customFormat="1" ht="34.5" hidden="1">
      <c r="A31" s="274" t="s">
        <v>407</v>
      </c>
      <c r="B31" s="36" t="s">
        <v>408</v>
      </c>
      <c r="C31" s="36"/>
      <c r="D31" s="37" t="s">
        <v>409</v>
      </c>
      <c r="E31" s="38">
        <f>E32</f>
        <v>607404</v>
      </c>
      <c r="F31" s="38">
        <f aca="true" t="shared" si="6" ref="F31:O31">F32</f>
        <v>607404</v>
      </c>
      <c r="G31" s="38">
        <f t="shared" si="6"/>
        <v>0</v>
      </c>
      <c r="H31" s="38">
        <f t="shared" si="6"/>
        <v>0</v>
      </c>
      <c r="I31" s="38">
        <f t="shared" si="6"/>
        <v>0</v>
      </c>
      <c r="J31" s="38">
        <f t="shared" si="6"/>
        <v>135534</v>
      </c>
      <c r="K31" s="38">
        <f t="shared" si="6"/>
        <v>135534</v>
      </c>
      <c r="L31" s="38">
        <f t="shared" si="6"/>
        <v>0</v>
      </c>
      <c r="M31" s="38">
        <f t="shared" si="6"/>
        <v>0</v>
      </c>
      <c r="N31" s="38">
        <f t="shared" si="6"/>
        <v>0</v>
      </c>
      <c r="O31" s="38">
        <f t="shared" si="6"/>
        <v>135534</v>
      </c>
      <c r="P31" s="275">
        <f t="shared" si="4"/>
        <v>742938</v>
      </c>
      <c r="Q31" s="49"/>
    </row>
    <row r="32" spans="1:17" s="40" customFormat="1" ht="36">
      <c r="A32" s="276" t="s">
        <v>410</v>
      </c>
      <c r="B32" s="41" t="s">
        <v>411</v>
      </c>
      <c r="C32" s="41" t="s">
        <v>404</v>
      </c>
      <c r="D32" s="44" t="s">
        <v>412</v>
      </c>
      <c r="E32" s="43">
        <f>E34+E35+E36+E37</f>
        <v>607404</v>
      </c>
      <c r="F32" s="43">
        <f>F34+F35+F36+F37</f>
        <v>607404</v>
      </c>
      <c r="G32" s="43"/>
      <c r="H32" s="43"/>
      <c r="I32" s="43"/>
      <c r="J32" s="43">
        <f>J34+J35+J36+J37</f>
        <v>135534</v>
      </c>
      <c r="K32" s="43">
        <f>K34+K35+K36+K37</f>
        <v>135534</v>
      </c>
      <c r="L32" s="43"/>
      <c r="M32" s="43"/>
      <c r="N32" s="43"/>
      <c r="O32" s="43">
        <f>O34+O35+O36+O37</f>
        <v>135534</v>
      </c>
      <c r="P32" s="275">
        <f t="shared" si="4"/>
        <v>742938</v>
      </c>
      <c r="Q32" s="39"/>
    </row>
    <row r="33" spans="1:17" s="40" customFormat="1" ht="18" hidden="1">
      <c r="A33" s="276"/>
      <c r="B33" s="41"/>
      <c r="C33" s="41"/>
      <c r="D33" s="44" t="s">
        <v>386</v>
      </c>
      <c r="E33" s="43"/>
      <c r="F33" s="43"/>
      <c r="G33" s="43"/>
      <c r="H33" s="43"/>
      <c r="I33" s="43"/>
      <c r="J33" s="43"/>
      <c r="K33" s="43"/>
      <c r="L33" s="43"/>
      <c r="M33" s="43"/>
      <c r="N33" s="43"/>
      <c r="O33" s="43"/>
      <c r="P33" s="275">
        <f t="shared" si="4"/>
        <v>0</v>
      </c>
      <c r="Q33" s="39"/>
    </row>
    <row r="34" spans="1:17" s="40" customFormat="1" ht="36" hidden="1">
      <c r="A34" s="276"/>
      <c r="B34" s="41"/>
      <c r="C34" s="41"/>
      <c r="D34" s="51" t="s">
        <v>413</v>
      </c>
      <c r="E34" s="43">
        <f>F34</f>
        <v>209404</v>
      </c>
      <c r="F34" s="43">
        <f>209404</f>
        <v>209404</v>
      </c>
      <c r="G34" s="43"/>
      <c r="H34" s="43"/>
      <c r="I34" s="43"/>
      <c r="J34" s="43">
        <f>K34+L34</f>
        <v>92456</v>
      </c>
      <c r="K34" s="43">
        <f>92456</f>
        <v>92456</v>
      </c>
      <c r="L34" s="43"/>
      <c r="M34" s="43"/>
      <c r="N34" s="43"/>
      <c r="O34" s="43">
        <f>K34</f>
        <v>92456</v>
      </c>
      <c r="P34" s="275">
        <f t="shared" si="4"/>
        <v>301860</v>
      </c>
      <c r="Q34" s="39"/>
    </row>
    <row r="35" spans="1:17" s="40" customFormat="1" ht="72" hidden="1">
      <c r="A35" s="276"/>
      <c r="B35" s="41"/>
      <c r="C35" s="41"/>
      <c r="D35" s="51" t="s">
        <v>414</v>
      </c>
      <c r="E35" s="43">
        <f>F35</f>
        <v>199000</v>
      </c>
      <c r="F35" s="43">
        <v>199000</v>
      </c>
      <c r="G35" s="43"/>
      <c r="H35" s="43"/>
      <c r="I35" s="43"/>
      <c r="J35" s="43"/>
      <c r="K35" s="43"/>
      <c r="L35" s="43"/>
      <c r="M35" s="43"/>
      <c r="N35" s="43"/>
      <c r="O35" s="43"/>
      <c r="P35" s="275">
        <f t="shared" si="4"/>
        <v>199000</v>
      </c>
      <c r="Q35" s="39"/>
    </row>
    <row r="36" spans="1:17" s="40" customFormat="1" ht="54" hidden="1">
      <c r="A36" s="276"/>
      <c r="B36" s="41"/>
      <c r="C36" s="41"/>
      <c r="D36" s="51" t="s">
        <v>415</v>
      </c>
      <c r="E36" s="43">
        <f>F36</f>
        <v>199000</v>
      </c>
      <c r="F36" s="43">
        <v>199000</v>
      </c>
      <c r="G36" s="43"/>
      <c r="H36" s="43"/>
      <c r="I36" s="43"/>
      <c r="J36" s="43"/>
      <c r="K36" s="43"/>
      <c r="L36" s="43"/>
      <c r="M36" s="43"/>
      <c r="N36" s="43"/>
      <c r="O36" s="43"/>
      <c r="P36" s="275">
        <f t="shared" si="4"/>
        <v>199000</v>
      </c>
      <c r="Q36" s="39"/>
    </row>
    <row r="37" spans="1:17" s="40" customFormat="1" ht="90" hidden="1">
      <c r="A37" s="276"/>
      <c r="B37" s="41"/>
      <c r="C37" s="41"/>
      <c r="D37" s="51" t="s">
        <v>416</v>
      </c>
      <c r="E37" s="43"/>
      <c r="F37" s="43"/>
      <c r="G37" s="43"/>
      <c r="H37" s="43"/>
      <c r="I37" s="43"/>
      <c r="J37" s="43">
        <f>O37+L37</f>
        <v>43078</v>
      </c>
      <c r="K37" s="43">
        <f>43078</f>
        <v>43078</v>
      </c>
      <c r="L37" s="43"/>
      <c r="M37" s="43"/>
      <c r="N37" s="43"/>
      <c r="O37" s="43">
        <f>K37</f>
        <v>43078</v>
      </c>
      <c r="P37" s="275">
        <f t="shared" si="4"/>
        <v>43078</v>
      </c>
      <c r="Q37" s="39"/>
    </row>
    <row r="38" spans="1:17" s="40" customFormat="1" ht="36" hidden="1">
      <c r="A38" s="276" t="s">
        <v>417</v>
      </c>
      <c r="B38" s="41" t="s">
        <v>418</v>
      </c>
      <c r="C38" s="41"/>
      <c r="D38" s="44" t="s">
        <v>419</v>
      </c>
      <c r="E38" s="43">
        <f>E39</f>
        <v>3000</v>
      </c>
      <c r="F38" s="43">
        <f aca="true" t="shared" si="7" ref="F38:O38">F39</f>
        <v>3000</v>
      </c>
      <c r="G38" s="43">
        <f t="shared" si="7"/>
        <v>0</v>
      </c>
      <c r="H38" s="43">
        <f t="shared" si="7"/>
        <v>0</v>
      </c>
      <c r="I38" s="43">
        <f t="shared" si="7"/>
        <v>0</v>
      </c>
      <c r="J38" s="43">
        <f t="shared" si="7"/>
        <v>0</v>
      </c>
      <c r="K38" s="43">
        <f t="shared" si="7"/>
        <v>0</v>
      </c>
      <c r="L38" s="43">
        <f t="shared" si="7"/>
        <v>0</v>
      </c>
      <c r="M38" s="43">
        <f t="shared" si="7"/>
        <v>0</v>
      </c>
      <c r="N38" s="43">
        <f t="shared" si="7"/>
        <v>0</v>
      </c>
      <c r="O38" s="43">
        <f t="shared" si="7"/>
        <v>0</v>
      </c>
      <c r="P38" s="275">
        <f t="shared" si="4"/>
        <v>3000</v>
      </c>
      <c r="Q38" s="39"/>
    </row>
    <row r="39" spans="1:17" s="40" customFormat="1" ht="36">
      <c r="A39" s="276" t="s">
        <v>420</v>
      </c>
      <c r="B39" s="41" t="s">
        <v>421</v>
      </c>
      <c r="C39" s="52" t="s">
        <v>422</v>
      </c>
      <c r="D39" s="42" t="s">
        <v>423</v>
      </c>
      <c r="E39" s="43">
        <f>F39</f>
        <v>3000</v>
      </c>
      <c r="F39" s="43">
        <v>3000</v>
      </c>
      <c r="G39" s="38"/>
      <c r="H39" s="38"/>
      <c r="I39" s="38"/>
      <c r="J39" s="38"/>
      <c r="K39" s="38"/>
      <c r="L39" s="38"/>
      <c r="M39" s="38"/>
      <c r="N39" s="38"/>
      <c r="O39" s="38"/>
      <c r="P39" s="275">
        <f t="shared" si="4"/>
        <v>3000</v>
      </c>
      <c r="Q39" s="39"/>
    </row>
    <row r="40" spans="1:17" s="40" customFormat="1" ht="20.25" customHeight="1" hidden="1">
      <c r="A40" s="276" t="s">
        <v>424</v>
      </c>
      <c r="B40" s="41" t="s">
        <v>425</v>
      </c>
      <c r="C40" s="52"/>
      <c r="D40" s="42" t="s">
        <v>426</v>
      </c>
      <c r="E40" s="43">
        <f>E41</f>
        <v>102000</v>
      </c>
      <c r="F40" s="43">
        <f aca="true" t="shared" si="8" ref="F40:O40">F41</f>
        <v>102000</v>
      </c>
      <c r="G40" s="43">
        <f t="shared" si="8"/>
        <v>0</v>
      </c>
      <c r="H40" s="43">
        <f t="shared" si="8"/>
        <v>0</v>
      </c>
      <c r="I40" s="43">
        <f t="shared" si="8"/>
        <v>0</v>
      </c>
      <c r="J40" s="43">
        <f t="shared" si="8"/>
        <v>0</v>
      </c>
      <c r="K40" s="43">
        <f t="shared" si="8"/>
        <v>0</v>
      </c>
      <c r="L40" s="43">
        <f t="shared" si="8"/>
        <v>0</v>
      </c>
      <c r="M40" s="43">
        <f t="shared" si="8"/>
        <v>0</v>
      </c>
      <c r="N40" s="43">
        <f t="shared" si="8"/>
        <v>0</v>
      </c>
      <c r="O40" s="43">
        <f t="shared" si="8"/>
        <v>0</v>
      </c>
      <c r="P40" s="275">
        <f t="shared" si="4"/>
        <v>102000</v>
      </c>
      <c r="Q40" s="39"/>
    </row>
    <row r="41" spans="1:16" s="54" customFormat="1" ht="36">
      <c r="A41" s="276" t="s">
        <v>427</v>
      </c>
      <c r="B41" s="41" t="s">
        <v>428</v>
      </c>
      <c r="C41" s="41" t="s">
        <v>429</v>
      </c>
      <c r="D41" s="44" t="s">
        <v>430</v>
      </c>
      <c r="E41" s="43">
        <f>F41</f>
        <v>102000</v>
      </c>
      <c r="F41" s="43">
        <f>96000+6000</f>
        <v>102000</v>
      </c>
      <c r="G41" s="53"/>
      <c r="H41" s="53"/>
      <c r="I41" s="53"/>
      <c r="J41" s="53"/>
      <c r="K41" s="53"/>
      <c r="L41" s="53"/>
      <c r="M41" s="53"/>
      <c r="N41" s="53"/>
      <c r="O41" s="53"/>
      <c r="P41" s="275">
        <f t="shared" si="4"/>
        <v>102000</v>
      </c>
    </row>
    <row r="42" spans="1:16" s="40" customFormat="1" ht="18" hidden="1">
      <c r="A42" s="276" t="s">
        <v>431</v>
      </c>
      <c r="B42" s="41" t="s">
        <v>432</v>
      </c>
      <c r="C42" s="41"/>
      <c r="D42" s="44" t="s">
        <v>433</v>
      </c>
      <c r="E42" s="43">
        <f>E44</f>
        <v>436000</v>
      </c>
      <c r="F42" s="43">
        <f aca="true" t="shared" si="9" ref="F42:O42">F44</f>
        <v>436000</v>
      </c>
      <c r="G42" s="43">
        <f t="shared" si="9"/>
        <v>0</v>
      </c>
      <c r="H42" s="43">
        <f t="shared" si="9"/>
        <v>0</v>
      </c>
      <c r="I42" s="43">
        <f t="shared" si="9"/>
        <v>0</v>
      </c>
      <c r="J42" s="43">
        <f t="shared" si="9"/>
        <v>0</v>
      </c>
      <c r="K42" s="43">
        <f t="shared" si="9"/>
        <v>0</v>
      </c>
      <c r="L42" s="43">
        <f t="shared" si="9"/>
        <v>0</v>
      </c>
      <c r="M42" s="43">
        <f t="shared" si="9"/>
        <v>0</v>
      </c>
      <c r="N42" s="43">
        <f t="shared" si="9"/>
        <v>0</v>
      </c>
      <c r="O42" s="43">
        <f t="shared" si="9"/>
        <v>0</v>
      </c>
      <c r="P42" s="275">
        <f t="shared" si="4"/>
        <v>436000</v>
      </c>
    </row>
    <row r="43" spans="1:16" s="40" customFormat="1" ht="18">
      <c r="A43" s="276" t="s">
        <v>259</v>
      </c>
      <c r="B43" s="41" t="s">
        <v>260</v>
      </c>
      <c r="C43" s="41" t="s">
        <v>261</v>
      </c>
      <c r="D43" s="44" t="s">
        <v>262</v>
      </c>
      <c r="E43" s="43">
        <f>F43</f>
        <v>14000</v>
      </c>
      <c r="F43" s="43">
        <v>14000</v>
      </c>
      <c r="G43" s="43"/>
      <c r="H43" s="43"/>
      <c r="I43" s="43"/>
      <c r="J43" s="43"/>
      <c r="K43" s="43"/>
      <c r="L43" s="43"/>
      <c r="M43" s="43"/>
      <c r="N43" s="43"/>
      <c r="O43" s="43"/>
      <c r="P43" s="275">
        <f t="shared" si="4"/>
        <v>14000</v>
      </c>
    </row>
    <row r="44" spans="1:16" s="40" customFormat="1" ht="36">
      <c r="A44" s="276" t="s">
        <v>434</v>
      </c>
      <c r="B44" s="41" t="s">
        <v>435</v>
      </c>
      <c r="C44" s="41" t="s">
        <v>436</v>
      </c>
      <c r="D44" s="76" t="s">
        <v>437</v>
      </c>
      <c r="E44" s="43">
        <f>F44</f>
        <v>436000</v>
      </c>
      <c r="F44" s="43">
        <f>400000+36000</f>
        <v>436000</v>
      </c>
      <c r="G44" s="43"/>
      <c r="H44" s="43"/>
      <c r="I44" s="43"/>
      <c r="J44" s="43"/>
      <c r="K44" s="43"/>
      <c r="L44" s="43"/>
      <c r="M44" s="43"/>
      <c r="N44" s="43"/>
      <c r="O44" s="43"/>
      <c r="P44" s="275">
        <f t="shared" si="4"/>
        <v>436000</v>
      </c>
    </row>
    <row r="45" spans="1:19" s="40" customFormat="1" ht="36">
      <c r="A45" s="276" t="s">
        <v>438</v>
      </c>
      <c r="B45" s="41" t="s">
        <v>439</v>
      </c>
      <c r="C45" s="41" t="s">
        <v>440</v>
      </c>
      <c r="D45" s="44" t="s">
        <v>441</v>
      </c>
      <c r="E45" s="43">
        <f>F45</f>
        <v>1162520</v>
      </c>
      <c r="F45" s="43">
        <f>108677+1053843</f>
        <v>1162520</v>
      </c>
      <c r="G45" s="43"/>
      <c r="H45" s="43"/>
      <c r="I45" s="43"/>
      <c r="J45" s="43">
        <f>L45+O45</f>
        <v>1224559</v>
      </c>
      <c r="K45" s="43">
        <f>932088+292471</f>
        <v>1224559</v>
      </c>
      <c r="L45" s="43"/>
      <c r="M45" s="43"/>
      <c r="N45" s="43"/>
      <c r="O45" s="43">
        <f>K45</f>
        <v>1224559</v>
      </c>
      <c r="P45" s="275">
        <f t="shared" si="4"/>
        <v>2387079</v>
      </c>
      <c r="Q45" s="39"/>
      <c r="R45" s="39"/>
      <c r="S45" s="39"/>
    </row>
    <row r="46" spans="1:16" s="40" customFormat="1" ht="36">
      <c r="A46" s="276" t="s">
        <v>442</v>
      </c>
      <c r="B46" s="41" t="s">
        <v>443</v>
      </c>
      <c r="C46" s="41" t="s">
        <v>440</v>
      </c>
      <c r="D46" s="44" t="s">
        <v>444</v>
      </c>
      <c r="E46" s="43">
        <f>F46</f>
        <v>1929703</v>
      </c>
      <c r="F46" s="43">
        <f>1929703</f>
        <v>1929703</v>
      </c>
      <c r="G46" s="43"/>
      <c r="H46" s="43"/>
      <c r="I46" s="43"/>
      <c r="J46" s="43">
        <f>L46+O46</f>
        <v>408830</v>
      </c>
      <c r="K46" s="43">
        <v>408830</v>
      </c>
      <c r="L46" s="43"/>
      <c r="M46" s="43"/>
      <c r="N46" s="43"/>
      <c r="O46" s="43">
        <f>K46</f>
        <v>408830</v>
      </c>
      <c r="P46" s="275">
        <f t="shared" si="4"/>
        <v>2338533</v>
      </c>
    </row>
    <row r="47" spans="1:16" s="40" customFormat="1" ht="39.75" customHeight="1">
      <c r="A47" s="276" t="s">
        <v>445</v>
      </c>
      <c r="B47" s="41" t="s">
        <v>446</v>
      </c>
      <c r="C47" s="41" t="s">
        <v>440</v>
      </c>
      <c r="D47" s="44" t="s">
        <v>447</v>
      </c>
      <c r="E47" s="43">
        <f>F47</f>
        <v>735998</v>
      </c>
      <c r="F47" s="43">
        <f>467493+268505</f>
        <v>735998</v>
      </c>
      <c r="G47" s="43"/>
      <c r="H47" s="43"/>
      <c r="I47" s="43"/>
      <c r="J47" s="43"/>
      <c r="K47" s="43"/>
      <c r="L47" s="43"/>
      <c r="M47" s="43"/>
      <c r="N47" s="43"/>
      <c r="O47" s="43"/>
      <c r="P47" s="275">
        <f t="shared" si="4"/>
        <v>735998</v>
      </c>
    </row>
    <row r="48" spans="1:16" s="40" customFormat="1" ht="42.75" customHeight="1">
      <c r="A48" s="276" t="s">
        <v>448</v>
      </c>
      <c r="B48" s="41" t="s">
        <v>449</v>
      </c>
      <c r="C48" s="41" t="s">
        <v>440</v>
      </c>
      <c r="D48" s="44" t="s">
        <v>450</v>
      </c>
      <c r="E48" s="43"/>
      <c r="F48" s="43"/>
      <c r="G48" s="43"/>
      <c r="H48" s="43"/>
      <c r="I48" s="43"/>
      <c r="J48" s="43">
        <f>K48+L48</f>
        <v>531203</v>
      </c>
      <c r="K48" s="43">
        <f>131203+400000</f>
        <v>531203</v>
      </c>
      <c r="L48" s="43"/>
      <c r="M48" s="43"/>
      <c r="N48" s="43"/>
      <c r="O48" s="43">
        <f>K48</f>
        <v>531203</v>
      </c>
      <c r="P48" s="275">
        <f t="shared" si="4"/>
        <v>531203</v>
      </c>
    </row>
    <row r="49" spans="1:16" s="40" customFormat="1" ht="36">
      <c r="A49" s="276" t="s">
        <v>451</v>
      </c>
      <c r="B49" s="41" t="s">
        <v>452</v>
      </c>
      <c r="C49" s="41" t="s">
        <v>440</v>
      </c>
      <c r="D49" s="44" t="s">
        <v>453</v>
      </c>
      <c r="E49" s="43">
        <f>F49</f>
        <v>1200000</v>
      </c>
      <c r="F49" s="43">
        <f>800000+400000</f>
        <v>1200000</v>
      </c>
      <c r="G49" s="43"/>
      <c r="H49" s="43"/>
      <c r="I49" s="43"/>
      <c r="J49" s="43"/>
      <c r="K49" s="43"/>
      <c r="L49" s="43"/>
      <c r="M49" s="43"/>
      <c r="N49" s="43"/>
      <c r="O49" s="43"/>
      <c r="P49" s="275">
        <f t="shared" si="4"/>
        <v>1200000</v>
      </c>
    </row>
    <row r="50" spans="1:16" s="40" customFormat="1" ht="82.5" customHeight="1">
      <c r="A50" s="276" t="s">
        <v>454</v>
      </c>
      <c r="B50" s="41" t="s">
        <v>455</v>
      </c>
      <c r="C50" s="41" t="s">
        <v>440</v>
      </c>
      <c r="D50" s="44" t="s">
        <v>456</v>
      </c>
      <c r="E50" s="43">
        <f>F50</f>
        <v>900000</v>
      </c>
      <c r="F50" s="43">
        <v>900000</v>
      </c>
      <c r="G50" s="43"/>
      <c r="H50" s="43"/>
      <c r="I50" s="43"/>
      <c r="J50" s="43"/>
      <c r="K50" s="43"/>
      <c r="L50" s="43"/>
      <c r="M50" s="43"/>
      <c r="N50" s="43"/>
      <c r="O50" s="43"/>
      <c r="P50" s="275">
        <f t="shared" si="4"/>
        <v>900000</v>
      </c>
    </row>
    <row r="51" spans="1:16" s="40" customFormat="1" ht="18">
      <c r="A51" s="276" t="s">
        <v>457</v>
      </c>
      <c r="B51" s="41" t="s">
        <v>458</v>
      </c>
      <c r="C51" s="41" t="s">
        <v>440</v>
      </c>
      <c r="D51" s="44" t="s">
        <v>459</v>
      </c>
      <c r="E51" s="43">
        <f>F51</f>
        <v>21015913</v>
      </c>
      <c r="F51" s="43">
        <f>18386200+420000+150000+1500000+250000+195000+114713</f>
        <v>21015913</v>
      </c>
      <c r="G51" s="43"/>
      <c r="H51" s="43"/>
      <c r="I51" s="43"/>
      <c r="J51" s="43">
        <f>L51+O51</f>
        <v>240000</v>
      </c>
      <c r="K51" s="43">
        <f>180000+60000</f>
        <v>240000</v>
      </c>
      <c r="L51" s="43"/>
      <c r="M51" s="43"/>
      <c r="N51" s="43"/>
      <c r="O51" s="43">
        <f>K51</f>
        <v>240000</v>
      </c>
      <c r="P51" s="275">
        <f t="shared" si="4"/>
        <v>21255913</v>
      </c>
    </row>
    <row r="52" spans="1:16" s="40" customFormat="1" ht="36" hidden="1">
      <c r="A52" s="276" t="s">
        <v>460</v>
      </c>
      <c r="B52" s="41" t="s">
        <v>461</v>
      </c>
      <c r="C52" s="41"/>
      <c r="D52" s="44" t="s">
        <v>462</v>
      </c>
      <c r="E52" s="43"/>
      <c r="F52" s="43"/>
      <c r="G52" s="43"/>
      <c r="H52" s="43"/>
      <c r="I52" s="43"/>
      <c r="J52" s="43"/>
      <c r="K52" s="43"/>
      <c r="L52" s="43"/>
      <c r="M52" s="43"/>
      <c r="N52" s="43"/>
      <c r="O52" s="43"/>
      <c r="P52" s="275">
        <f t="shared" si="4"/>
        <v>0</v>
      </c>
    </row>
    <row r="53" spans="1:16" s="40" customFormat="1" ht="36" hidden="1">
      <c r="A53" s="276" t="s">
        <v>463</v>
      </c>
      <c r="B53" s="41" t="s">
        <v>464</v>
      </c>
      <c r="C53" s="41" t="s">
        <v>440</v>
      </c>
      <c r="D53" s="44" t="s">
        <v>465</v>
      </c>
      <c r="E53" s="43"/>
      <c r="F53" s="43"/>
      <c r="G53" s="43"/>
      <c r="H53" s="43"/>
      <c r="I53" s="43"/>
      <c r="J53" s="43"/>
      <c r="K53" s="43"/>
      <c r="L53" s="43"/>
      <c r="M53" s="43"/>
      <c r="N53" s="43"/>
      <c r="O53" s="43"/>
      <c r="P53" s="275">
        <f t="shared" si="4"/>
        <v>0</v>
      </c>
    </row>
    <row r="54" spans="1:16" s="40" customFormat="1" ht="36">
      <c r="A54" s="276" t="s">
        <v>466</v>
      </c>
      <c r="B54" s="41" t="s">
        <v>467</v>
      </c>
      <c r="C54" s="41" t="s">
        <v>468</v>
      </c>
      <c r="D54" s="55" t="s">
        <v>469</v>
      </c>
      <c r="E54" s="43">
        <f>F54</f>
        <v>220000</v>
      </c>
      <c r="F54" s="43">
        <v>220000</v>
      </c>
      <c r="G54" s="43"/>
      <c r="H54" s="43"/>
      <c r="I54" s="43"/>
      <c r="J54" s="43"/>
      <c r="K54" s="43"/>
      <c r="L54" s="43"/>
      <c r="M54" s="43"/>
      <c r="N54" s="43"/>
      <c r="O54" s="43"/>
      <c r="P54" s="275">
        <f t="shared" si="4"/>
        <v>220000</v>
      </c>
    </row>
    <row r="55" spans="1:16" s="40" customFormat="1" ht="18">
      <c r="A55" s="276" t="s">
        <v>470</v>
      </c>
      <c r="B55" s="41" t="s">
        <v>471</v>
      </c>
      <c r="C55" s="41" t="s">
        <v>472</v>
      </c>
      <c r="D55" s="44" t="s">
        <v>473</v>
      </c>
      <c r="E55" s="43">
        <f>F55</f>
        <v>142777</v>
      </c>
      <c r="F55" s="43">
        <f>100000+42777</f>
        <v>142777</v>
      </c>
      <c r="G55" s="43"/>
      <c r="H55" s="43"/>
      <c r="I55" s="43"/>
      <c r="J55" s="43"/>
      <c r="K55" s="43"/>
      <c r="L55" s="43"/>
      <c r="M55" s="43"/>
      <c r="N55" s="43"/>
      <c r="O55" s="43"/>
      <c r="P55" s="275">
        <f t="shared" si="4"/>
        <v>142777</v>
      </c>
    </row>
    <row r="56" spans="1:16" s="40" customFormat="1" ht="36">
      <c r="A56" s="276" t="s">
        <v>231</v>
      </c>
      <c r="B56" s="41" t="s">
        <v>232</v>
      </c>
      <c r="C56" s="41" t="s">
        <v>476</v>
      </c>
      <c r="D56" s="44" t="s">
        <v>233</v>
      </c>
      <c r="E56" s="43"/>
      <c r="F56" s="43"/>
      <c r="G56" s="43"/>
      <c r="H56" s="43"/>
      <c r="I56" s="43"/>
      <c r="J56" s="43">
        <f>O56+L56</f>
        <v>206395</v>
      </c>
      <c r="K56" s="43">
        <f>63327+143068</f>
        <v>206395</v>
      </c>
      <c r="L56" s="43"/>
      <c r="M56" s="43"/>
      <c r="N56" s="43"/>
      <c r="O56" s="43">
        <f>K56</f>
        <v>206395</v>
      </c>
      <c r="P56" s="275">
        <f t="shared" si="4"/>
        <v>206395</v>
      </c>
    </row>
    <row r="57" spans="1:17" s="40" customFormat="1" ht="42" customHeight="1">
      <c r="A57" s="276" t="s">
        <v>474</v>
      </c>
      <c r="B57" s="41" t="s">
        <v>475</v>
      </c>
      <c r="C57" s="41" t="s">
        <v>476</v>
      </c>
      <c r="D57" s="44" t="s">
        <v>477</v>
      </c>
      <c r="E57" s="43"/>
      <c r="F57" s="43"/>
      <c r="G57" s="43"/>
      <c r="H57" s="43"/>
      <c r="I57" s="43"/>
      <c r="J57" s="43">
        <f>O57+L58</f>
        <v>41709</v>
      </c>
      <c r="K57" s="43">
        <v>41709</v>
      </c>
      <c r="L57" s="43"/>
      <c r="M57" s="43"/>
      <c r="N57" s="43"/>
      <c r="O57" s="43">
        <f>K57</f>
        <v>41709</v>
      </c>
      <c r="P57" s="275">
        <f t="shared" si="4"/>
        <v>41709</v>
      </c>
      <c r="Q57" s="39"/>
    </row>
    <row r="58" spans="1:16" s="40" customFormat="1" ht="36">
      <c r="A58" s="276" t="s">
        <v>478</v>
      </c>
      <c r="B58" s="41" t="s">
        <v>479</v>
      </c>
      <c r="C58" s="41" t="s">
        <v>476</v>
      </c>
      <c r="D58" s="44" t="s">
        <v>135</v>
      </c>
      <c r="E58" s="43"/>
      <c r="F58" s="43"/>
      <c r="G58" s="43"/>
      <c r="H58" s="43"/>
      <c r="I58" s="43"/>
      <c r="J58" s="43">
        <f>L58+O58</f>
        <v>2915049</v>
      </c>
      <c r="K58" s="43">
        <f>945049+1000000+470000+500000</f>
        <v>2915049</v>
      </c>
      <c r="L58" s="43"/>
      <c r="M58" s="43"/>
      <c r="N58" s="43"/>
      <c r="O58" s="43">
        <f>K58</f>
        <v>2915049</v>
      </c>
      <c r="P58" s="275">
        <f t="shared" si="4"/>
        <v>2915049</v>
      </c>
    </row>
    <row r="59" spans="1:16" s="40" customFormat="1" ht="76.5" customHeight="1">
      <c r="A59" s="276" t="s">
        <v>480</v>
      </c>
      <c r="B59" s="41" t="s">
        <v>481</v>
      </c>
      <c r="C59" s="41" t="s">
        <v>482</v>
      </c>
      <c r="D59" s="44" t="s">
        <v>483</v>
      </c>
      <c r="E59" s="43"/>
      <c r="F59" s="43"/>
      <c r="G59" s="43"/>
      <c r="H59" s="43"/>
      <c r="I59" s="43"/>
      <c r="J59" s="43">
        <f>L59+O59</f>
        <v>2850000</v>
      </c>
      <c r="K59" s="43">
        <f>1800000+1050000</f>
        <v>2850000</v>
      </c>
      <c r="L59" s="43"/>
      <c r="M59" s="43"/>
      <c r="N59" s="43"/>
      <c r="O59" s="43">
        <f>K59</f>
        <v>2850000</v>
      </c>
      <c r="P59" s="275">
        <f t="shared" si="4"/>
        <v>2850000</v>
      </c>
    </row>
    <row r="60" spans="1:16" s="40" customFormat="1" ht="76.5" customHeight="1" hidden="1">
      <c r="A60" s="276" t="s">
        <v>325</v>
      </c>
      <c r="B60" s="41" t="s">
        <v>235</v>
      </c>
      <c r="C60" s="41" t="s">
        <v>482</v>
      </c>
      <c r="D60" s="44" t="s">
        <v>236</v>
      </c>
      <c r="E60" s="43"/>
      <c r="F60" s="43"/>
      <c r="G60" s="43"/>
      <c r="H60" s="43"/>
      <c r="I60" s="43"/>
      <c r="J60" s="43"/>
      <c r="K60" s="43"/>
      <c r="L60" s="43"/>
      <c r="M60" s="43"/>
      <c r="N60" s="43"/>
      <c r="O60" s="43">
        <f>K60</f>
        <v>0</v>
      </c>
      <c r="P60" s="275">
        <f t="shared" si="4"/>
        <v>0</v>
      </c>
    </row>
    <row r="61" spans="1:16" s="40" customFormat="1" ht="36">
      <c r="A61" s="277" t="s">
        <v>484</v>
      </c>
      <c r="B61" s="45" t="s">
        <v>485</v>
      </c>
      <c r="C61" s="45" t="s">
        <v>486</v>
      </c>
      <c r="D61" s="67" t="s">
        <v>487</v>
      </c>
      <c r="E61" s="43">
        <f>F61</f>
        <v>500000</v>
      </c>
      <c r="F61" s="43">
        <v>500000</v>
      </c>
      <c r="G61" s="43"/>
      <c r="H61" s="43"/>
      <c r="I61" s="43"/>
      <c r="J61" s="43"/>
      <c r="K61" s="43"/>
      <c r="L61" s="43"/>
      <c r="M61" s="43"/>
      <c r="N61" s="43"/>
      <c r="O61" s="43"/>
      <c r="P61" s="275">
        <f t="shared" si="4"/>
        <v>500000</v>
      </c>
    </row>
    <row r="62" spans="1:16" s="40" customFormat="1" ht="54">
      <c r="A62" s="276" t="s">
        <v>488</v>
      </c>
      <c r="B62" s="41" t="s">
        <v>489</v>
      </c>
      <c r="C62" s="41" t="s">
        <v>490</v>
      </c>
      <c r="D62" s="44" t="s">
        <v>491</v>
      </c>
      <c r="E62" s="43">
        <f>F62</f>
        <v>5860000</v>
      </c>
      <c r="F62" s="43">
        <v>5860000</v>
      </c>
      <c r="G62" s="43"/>
      <c r="H62" s="43"/>
      <c r="I62" s="43"/>
      <c r="J62" s="43">
        <f>L62+O62</f>
        <v>173415</v>
      </c>
      <c r="K62" s="43">
        <f>140000+17532+15883</f>
        <v>173415</v>
      </c>
      <c r="L62" s="43"/>
      <c r="M62" s="43"/>
      <c r="N62" s="43"/>
      <c r="O62" s="43">
        <f>K62</f>
        <v>173415</v>
      </c>
      <c r="P62" s="275">
        <f t="shared" si="4"/>
        <v>6033415</v>
      </c>
    </row>
    <row r="63" spans="1:16" s="40" customFormat="1" ht="36" hidden="1">
      <c r="A63" s="276" t="s">
        <v>492</v>
      </c>
      <c r="B63" s="41" t="s">
        <v>493</v>
      </c>
      <c r="C63" s="41" t="s">
        <v>494</v>
      </c>
      <c r="D63" s="56" t="s">
        <v>495</v>
      </c>
      <c r="E63" s="43"/>
      <c r="F63" s="43"/>
      <c r="G63" s="43"/>
      <c r="H63" s="43"/>
      <c r="I63" s="43"/>
      <c r="J63" s="43"/>
      <c r="K63" s="43"/>
      <c r="L63" s="43"/>
      <c r="M63" s="43"/>
      <c r="N63" s="43"/>
      <c r="O63" s="43"/>
      <c r="P63" s="275">
        <f t="shared" si="4"/>
        <v>0</v>
      </c>
    </row>
    <row r="64" spans="1:16" s="40" customFormat="1" ht="36">
      <c r="A64" s="276" t="s">
        <v>496</v>
      </c>
      <c r="B64" s="41" t="s">
        <v>497</v>
      </c>
      <c r="C64" s="41" t="s">
        <v>482</v>
      </c>
      <c r="D64" s="56" t="s">
        <v>498</v>
      </c>
      <c r="E64" s="43"/>
      <c r="F64" s="43"/>
      <c r="G64" s="43"/>
      <c r="H64" s="43"/>
      <c r="I64" s="43"/>
      <c r="J64" s="43">
        <f>L64+O64</f>
        <v>8676903</v>
      </c>
      <c r="K64" s="43">
        <f>2280000+1500000+4619880+50000+91126+135897</f>
        <v>8676903</v>
      </c>
      <c r="L64" s="43"/>
      <c r="M64" s="43"/>
      <c r="N64" s="43"/>
      <c r="O64" s="43">
        <f>K64</f>
        <v>8676903</v>
      </c>
      <c r="P64" s="275">
        <f t="shared" si="4"/>
        <v>8676903</v>
      </c>
    </row>
    <row r="65" spans="1:16" s="40" customFormat="1" ht="36">
      <c r="A65" s="276" t="s">
        <v>499</v>
      </c>
      <c r="B65" s="41" t="s">
        <v>500</v>
      </c>
      <c r="C65" s="41" t="s">
        <v>482</v>
      </c>
      <c r="D65" s="56" t="s">
        <v>501</v>
      </c>
      <c r="E65" s="43">
        <f>F65</f>
        <v>25799</v>
      </c>
      <c r="F65" s="43">
        <v>25799</v>
      </c>
      <c r="G65" s="43"/>
      <c r="H65" s="43"/>
      <c r="I65" s="43"/>
      <c r="J65" s="43"/>
      <c r="K65" s="43"/>
      <c r="L65" s="43"/>
      <c r="M65" s="43"/>
      <c r="N65" s="43"/>
      <c r="O65" s="43"/>
      <c r="P65" s="275">
        <f t="shared" si="4"/>
        <v>25799</v>
      </c>
    </row>
    <row r="66" spans="1:16" s="40" customFormat="1" ht="18" hidden="1">
      <c r="A66" s="276" t="s">
        <v>502</v>
      </c>
      <c r="B66" s="41" t="s">
        <v>503</v>
      </c>
      <c r="C66" s="41"/>
      <c r="D66" s="56" t="s">
        <v>504</v>
      </c>
      <c r="E66" s="43">
        <f>E67</f>
        <v>3513774</v>
      </c>
      <c r="F66" s="43">
        <f aca="true" t="shared" si="10" ref="F66:O66">F67</f>
        <v>3513774</v>
      </c>
      <c r="G66" s="43">
        <f t="shared" si="10"/>
        <v>0</v>
      </c>
      <c r="H66" s="43">
        <f t="shared" si="10"/>
        <v>0</v>
      </c>
      <c r="I66" s="43">
        <f t="shared" si="10"/>
        <v>0</v>
      </c>
      <c r="J66" s="43">
        <f t="shared" si="10"/>
        <v>848951</v>
      </c>
      <c r="K66" s="43">
        <f t="shared" si="10"/>
        <v>848951</v>
      </c>
      <c r="L66" s="43">
        <f t="shared" si="10"/>
        <v>0</v>
      </c>
      <c r="M66" s="43">
        <f t="shared" si="10"/>
        <v>0</v>
      </c>
      <c r="N66" s="43">
        <f t="shared" si="10"/>
        <v>0</v>
      </c>
      <c r="O66" s="43">
        <f t="shared" si="10"/>
        <v>848951</v>
      </c>
      <c r="P66" s="275">
        <f t="shared" si="4"/>
        <v>4362725</v>
      </c>
    </row>
    <row r="67" spans="1:17" s="40" customFormat="1" ht="36">
      <c r="A67" s="276" t="s">
        <v>505</v>
      </c>
      <c r="B67" s="41" t="s">
        <v>506</v>
      </c>
      <c r="C67" s="41" t="s">
        <v>482</v>
      </c>
      <c r="D67" s="44" t="s">
        <v>507</v>
      </c>
      <c r="E67" s="43">
        <f>F67</f>
        <v>3513774</v>
      </c>
      <c r="F67" s="43">
        <f>2741541+122100-55000+20686+500000+160000+24447</f>
        <v>3513774</v>
      </c>
      <c r="G67" s="43"/>
      <c r="H67" s="43"/>
      <c r="I67" s="43"/>
      <c r="J67" s="43">
        <f>O67+L67</f>
        <v>848951</v>
      </c>
      <c r="K67" s="43">
        <f>478951-180000+550000</f>
        <v>848951</v>
      </c>
      <c r="L67" s="43"/>
      <c r="M67" s="43"/>
      <c r="N67" s="43"/>
      <c r="O67" s="43">
        <f>K67</f>
        <v>848951</v>
      </c>
      <c r="P67" s="275">
        <f t="shared" si="4"/>
        <v>4362725</v>
      </c>
      <c r="Q67" s="57"/>
    </row>
    <row r="68" spans="1:16" s="40" customFormat="1" ht="36" hidden="1">
      <c r="A68" s="276" t="s">
        <v>508</v>
      </c>
      <c r="B68" s="41" t="s">
        <v>509</v>
      </c>
      <c r="C68" s="41" t="s">
        <v>482</v>
      </c>
      <c r="D68" s="44" t="s">
        <v>498</v>
      </c>
      <c r="E68" s="43"/>
      <c r="F68" s="43"/>
      <c r="G68" s="43"/>
      <c r="H68" s="43"/>
      <c r="I68" s="43"/>
      <c r="J68" s="43"/>
      <c r="K68" s="43"/>
      <c r="L68" s="43"/>
      <c r="M68" s="43"/>
      <c r="N68" s="43"/>
      <c r="O68" s="43"/>
      <c r="P68" s="275">
        <f t="shared" si="4"/>
        <v>0</v>
      </c>
    </row>
    <row r="69" spans="1:16" s="40" customFormat="1" ht="36" hidden="1">
      <c r="A69" s="276" t="s">
        <v>510</v>
      </c>
      <c r="B69" s="41" t="s">
        <v>511</v>
      </c>
      <c r="C69" s="41" t="s">
        <v>494</v>
      </c>
      <c r="D69" s="44" t="s">
        <v>512</v>
      </c>
      <c r="E69" s="43"/>
      <c r="F69" s="43"/>
      <c r="G69" s="43"/>
      <c r="H69" s="43"/>
      <c r="I69" s="43"/>
      <c r="J69" s="43"/>
      <c r="K69" s="43"/>
      <c r="L69" s="43"/>
      <c r="M69" s="43"/>
      <c r="N69" s="43"/>
      <c r="O69" s="43"/>
      <c r="P69" s="275">
        <f t="shared" si="4"/>
        <v>0</v>
      </c>
    </row>
    <row r="70" spans="1:16" s="40" customFormat="1" ht="36">
      <c r="A70" s="276" t="s">
        <v>513</v>
      </c>
      <c r="B70" s="41" t="s">
        <v>514</v>
      </c>
      <c r="C70" s="41" t="s">
        <v>515</v>
      </c>
      <c r="D70" s="58" t="s">
        <v>516</v>
      </c>
      <c r="E70" s="43">
        <f>F70</f>
        <v>1724195</v>
      </c>
      <c r="F70" s="43">
        <f>1724195</f>
        <v>1724195</v>
      </c>
      <c r="G70" s="43"/>
      <c r="H70" s="43"/>
      <c r="I70" s="43"/>
      <c r="J70" s="43"/>
      <c r="K70" s="43"/>
      <c r="L70" s="43"/>
      <c r="M70" s="43"/>
      <c r="N70" s="43"/>
      <c r="O70" s="43"/>
      <c r="P70" s="275">
        <f t="shared" si="4"/>
        <v>1724195</v>
      </c>
    </row>
    <row r="71" spans="1:16" s="40" customFormat="1" ht="36">
      <c r="A71" s="276" t="s">
        <v>517</v>
      </c>
      <c r="B71" s="41" t="s">
        <v>518</v>
      </c>
      <c r="C71" s="41" t="s">
        <v>519</v>
      </c>
      <c r="D71" s="55" t="s">
        <v>520</v>
      </c>
      <c r="E71" s="43"/>
      <c r="F71" s="43"/>
      <c r="G71" s="43"/>
      <c r="H71" s="43"/>
      <c r="I71" s="43"/>
      <c r="J71" s="43">
        <f>L71+O71</f>
        <v>703594</v>
      </c>
      <c r="K71" s="43"/>
      <c r="L71" s="43">
        <f>120000+4900+298694</f>
        <v>423594</v>
      </c>
      <c r="M71" s="43"/>
      <c r="N71" s="43"/>
      <c r="O71" s="43">
        <f>280000</f>
        <v>280000</v>
      </c>
      <c r="P71" s="275">
        <f t="shared" si="4"/>
        <v>703594</v>
      </c>
    </row>
    <row r="72" spans="1:16" s="40" customFormat="1" ht="36">
      <c r="A72" s="276" t="s">
        <v>521</v>
      </c>
      <c r="B72" s="41" t="s">
        <v>522</v>
      </c>
      <c r="C72" s="41" t="s">
        <v>523</v>
      </c>
      <c r="D72" s="55" t="s">
        <v>524</v>
      </c>
      <c r="E72" s="43">
        <f>F72</f>
        <v>678682</v>
      </c>
      <c r="F72" s="43">
        <v>678682</v>
      </c>
      <c r="G72" s="43"/>
      <c r="H72" s="43"/>
      <c r="I72" s="43"/>
      <c r="J72" s="43"/>
      <c r="K72" s="43"/>
      <c r="L72" s="43"/>
      <c r="M72" s="43"/>
      <c r="N72" s="43"/>
      <c r="O72" s="43"/>
      <c r="P72" s="275">
        <f t="shared" si="4"/>
        <v>678682</v>
      </c>
    </row>
    <row r="73" spans="1:16" s="40" customFormat="1" ht="18" thickBot="1">
      <c r="A73" s="278" t="s">
        <v>525</v>
      </c>
      <c r="B73" s="59" t="s">
        <v>526</v>
      </c>
      <c r="C73" s="59" t="s">
        <v>523</v>
      </c>
      <c r="D73" s="60" t="s">
        <v>527</v>
      </c>
      <c r="E73" s="61">
        <f>F73</f>
        <v>1034455</v>
      </c>
      <c r="F73" s="61">
        <v>1034455</v>
      </c>
      <c r="G73" s="61"/>
      <c r="H73" s="61"/>
      <c r="I73" s="61"/>
      <c r="J73" s="61"/>
      <c r="K73" s="61"/>
      <c r="L73" s="61"/>
      <c r="M73" s="61"/>
      <c r="N73" s="61"/>
      <c r="O73" s="61"/>
      <c r="P73" s="279">
        <f t="shared" si="4"/>
        <v>1034455</v>
      </c>
    </row>
    <row r="74" spans="1:17" s="40" customFormat="1" ht="17.25">
      <c r="A74" s="280" t="s">
        <v>528</v>
      </c>
      <c r="B74" s="63"/>
      <c r="C74" s="63"/>
      <c r="D74" s="64" t="s">
        <v>529</v>
      </c>
      <c r="E74" s="65">
        <f>E75</f>
        <v>208058356</v>
      </c>
      <c r="F74" s="65">
        <f aca="true" t="shared" si="11" ref="F74:O74">F75</f>
        <v>208058356</v>
      </c>
      <c r="G74" s="65">
        <f t="shared" si="11"/>
        <v>164764071</v>
      </c>
      <c r="H74" s="65">
        <f t="shared" si="11"/>
        <v>29244422</v>
      </c>
      <c r="I74" s="65"/>
      <c r="J74" s="65">
        <f t="shared" si="11"/>
        <v>12528513</v>
      </c>
      <c r="K74" s="65">
        <f t="shared" si="11"/>
        <v>5770540</v>
      </c>
      <c r="L74" s="65">
        <f t="shared" si="11"/>
        <v>6757973</v>
      </c>
      <c r="M74" s="65">
        <f t="shared" si="11"/>
        <v>979636</v>
      </c>
      <c r="N74" s="65">
        <f t="shared" si="11"/>
        <v>28258</v>
      </c>
      <c r="O74" s="65">
        <f t="shared" si="11"/>
        <v>5770540</v>
      </c>
      <c r="P74" s="281">
        <f t="shared" si="4"/>
        <v>220586869</v>
      </c>
      <c r="Q74" s="39"/>
    </row>
    <row r="75" spans="1:16" s="40" customFormat="1" ht="17.25">
      <c r="A75" s="274" t="s">
        <v>530</v>
      </c>
      <c r="B75" s="36"/>
      <c r="C75" s="36"/>
      <c r="D75" s="37" t="s">
        <v>529</v>
      </c>
      <c r="E75" s="38">
        <f>E76+E77+E78+E85+E86+E88+E92+E95+E98+E103+E102+E94</f>
        <v>208058356</v>
      </c>
      <c r="F75" s="38">
        <f aca="true" t="shared" si="12" ref="F75:O75">F76+F77+F78+F85+F86+F88+F92+F95+F98+F103+F102+F94</f>
        <v>208058356</v>
      </c>
      <c r="G75" s="38">
        <f t="shared" si="12"/>
        <v>164764071</v>
      </c>
      <c r="H75" s="38">
        <f t="shared" si="12"/>
        <v>29244422</v>
      </c>
      <c r="I75" s="38"/>
      <c r="J75" s="38">
        <f t="shared" si="12"/>
        <v>12528513</v>
      </c>
      <c r="K75" s="38">
        <f t="shared" si="12"/>
        <v>5770540</v>
      </c>
      <c r="L75" s="38">
        <f t="shared" si="12"/>
        <v>6757973</v>
      </c>
      <c r="M75" s="38">
        <f t="shared" si="12"/>
        <v>979636</v>
      </c>
      <c r="N75" s="38">
        <f t="shared" si="12"/>
        <v>28258</v>
      </c>
      <c r="O75" s="38">
        <f t="shared" si="12"/>
        <v>5770540</v>
      </c>
      <c r="P75" s="275">
        <f t="shared" si="4"/>
        <v>220586869</v>
      </c>
    </row>
    <row r="76" spans="1:16" s="40" customFormat="1" ht="54">
      <c r="A76" s="276" t="s">
        <v>531</v>
      </c>
      <c r="B76" s="41" t="s">
        <v>532</v>
      </c>
      <c r="C76" s="41" t="s">
        <v>384</v>
      </c>
      <c r="D76" s="44" t="s">
        <v>533</v>
      </c>
      <c r="E76" s="43">
        <f>F76</f>
        <v>1176456</v>
      </c>
      <c r="F76" s="43">
        <v>1176456</v>
      </c>
      <c r="G76" s="43">
        <v>1105303</v>
      </c>
      <c r="H76" s="43">
        <v>66128</v>
      </c>
      <c r="I76" s="43"/>
      <c r="J76" s="43"/>
      <c r="K76" s="43"/>
      <c r="L76" s="43"/>
      <c r="M76" s="43"/>
      <c r="N76" s="43"/>
      <c r="O76" s="43"/>
      <c r="P76" s="275">
        <f t="shared" si="4"/>
        <v>1176456</v>
      </c>
    </row>
    <row r="77" spans="1:37" s="40" customFormat="1" ht="18">
      <c r="A77" s="276" t="s">
        <v>534</v>
      </c>
      <c r="B77" s="41" t="s">
        <v>535</v>
      </c>
      <c r="C77" s="41" t="s">
        <v>536</v>
      </c>
      <c r="D77" s="44" t="s">
        <v>537</v>
      </c>
      <c r="E77" s="43">
        <f>F77</f>
        <v>66116472</v>
      </c>
      <c r="F77" s="43">
        <f>26086+18225+3530513+526247+155717+7760+G77+H77-135366</f>
        <v>66116472</v>
      </c>
      <c r="G77" s="43">
        <v>50130927</v>
      </c>
      <c r="H77" s="43">
        <f>11720997+135366</f>
        <v>11856363</v>
      </c>
      <c r="I77" s="43"/>
      <c r="J77" s="43">
        <f>L77+O77</f>
        <v>5158078</v>
      </c>
      <c r="K77" s="43">
        <f>413740</f>
        <v>413740</v>
      </c>
      <c r="L77" s="43">
        <v>4744338</v>
      </c>
      <c r="M77" s="43"/>
      <c r="N77" s="43"/>
      <c r="O77" s="43">
        <f>K77</f>
        <v>413740</v>
      </c>
      <c r="P77" s="275">
        <f t="shared" si="4"/>
        <v>71274550</v>
      </c>
      <c r="Q77" s="39"/>
      <c r="R77" s="39"/>
      <c r="S77" s="39"/>
      <c r="T77" s="39"/>
      <c r="U77" s="39"/>
      <c r="V77" s="39"/>
      <c r="W77" s="39"/>
      <c r="X77" s="39"/>
      <c r="Y77" s="39"/>
      <c r="Z77" s="39"/>
      <c r="AA77" s="39"/>
      <c r="AB77" s="39"/>
      <c r="AC77" s="39"/>
      <c r="AD77" s="39"/>
      <c r="AE77" s="39"/>
      <c r="AF77" s="39"/>
      <c r="AG77" s="39"/>
      <c r="AH77" s="39"/>
      <c r="AI77" s="39"/>
      <c r="AJ77" s="39"/>
      <c r="AK77" s="39"/>
    </row>
    <row r="78" spans="1:17" s="40" customFormat="1" ht="93" customHeight="1">
      <c r="A78" s="276" t="s">
        <v>538</v>
      </c>
      <c r="B78" s="41" t="s">
        <v>539</v>
      </c>
      <c r="C78" s="41" t="s">
        <v>540</v>
      </c>
      <c r="D78" s="42" t="s">
        <v>541</v>
      </c>
      <c r="E78" s="43">
        <f>E80+E84+E82+E83+E81</f>
        <v>128178502</v>
      </c>
      <c r="F78" s="43">
        <f aca="true" t="shared" si="13" ref="F78:O78">F80+F84+F82+F83+F81</f>
        <v>128178502</v>
      </c>
      <c r="G78" s="43">
        <f t="shared" si="13"/>
        <v>102315412</v>
      </c>
      <c r="H78" s="43">
        <f t="shared" si="13"/>
        <v>16359305</v>
      </c>
      <c r="I78" s="43"/>
      <c r="J78" s="43">
        <f t="shared" si="13"/>
        <v>5448703</v>
      </c>
      <c r="K78" s="43">
        <f t="shared" si="13"/>
        <v>3435068</v>
      </c>
      <c r="L78" s="43">
        <f t="shared" si="13"/>
        <v>2013635</v>
      </c>
      <c r="M78" s="43">
        <f t="shared" si="13"/>
        <v>979636</v>
      </c>
      <c r="N78" s="43">
        <f t="shared" si="13"/>
        <v>28258</v>
      </c>
      <c r="O78" s="43">
        <f t="shared" si="13"/>
        <v>3435068</v>
      </c>
      <c r="P78" s="275">
        <f t="shared" si="4"/>
        <v>133627205</v>
      </c>
      <c r="Q78" s="39"/>
    </row>
    <row r="79" spans="1:16" s="40" customFormat="1" ht="18" hidden="1">
      <c r="A79" s="276"/>
      <c r="B79" s="41"/>
      <c r="C79" s="41"/>
      <c r="D79" s="66" t="s">
        <v>386</v>
      </c>
      <c r="E79" s="43"/>
      <c r="F79" s="43"/>
      <c r="G79" s="43"/>
      <c r="H79" s="43"/>
      <c r="I79" s="43"/>
      <c r="J79" s="43"/>
      <c r="K79" s="43"/>
      <c r="L79" s="43"/>
      <c r="M79" s="43"/>
      <c r="N79" s="43"/>
      <c r="O79" s="43"/>
      <c r="P79" s="275"/>
    </row>
    <row r="80" spans="1:16" s="40" customFormat="1" ht="23.25" customHeight="1" hidden="1">
      <c r="A80" s="276"/>
      <c r="B80" s="41"/>
      <c r="C80" s="41"/>
      <c r="D80" s="67" t="s">
        <v>542</v>
      </c>
      <c r="E80" s="43">
        <f>F80</f>
        <v>79244400</v>
      </c>
      <c r="F80" s="43">
        <v>79244400</v>
      </c>
      <c r="G80" s="43">
        <v>79244400</v>
      </c>
      <c r="H80" s="43"/>
      <c r="I80" s="43"/>
      <c r="J80" s="43"/>
      <c r="K80" s="43"/>
      <c r="L80" s="43"/>
      <c r="M80" s="43"/>
      <c r="N80" s="43"/>
      <c r="O80" s="43"/>
      <c r="P80" s="275">
        <f t="shared" si="4"/>
        <v>79244400</v>
      </c>
    </row>
    <row r="81" spans="1:16" s="40" customFormat="1" ht="23.25" customHeight="1" hidden="1">
      <c r="A81" s="276"/>
      <c r="B81" s="41"/>
      <c r="C81" s="41"/>
      <c r="D81" s="67" t="s">
        <v>258</v>
      </c>
      <c r="E81" s="43">
        <f>F81</f>
        <v>83748</v>
      </c>
      <c r="F81" s="43">
        <v>83748</v>
      </c>
      <c r="G81" s="43"/>
      <c r="H81" s="43"/>
      <c r="I81" s="43"/>
      <c r="J81" s="43">
        <f>O81+L81</f>
        <v>1106922</v>
      </c>
      <c r="K81" s="43">
        <f>1106922</f>
        <v>1106922</v>
      </c>
      <c r="L81" s="43"/>
      <c r="M81" s="43"/>
      <c r="N81" s="43"/>
      <c r="O81" s="43">
        <f>K81</f>
        <v>1106922</v>
      </c>
      <c r="P81" s="275">
        <f t="shared" si="4"/>
        <v>1190670</v>
      </c>
    </row>
    <row r="82" spans="1:16" s="40" customFormat="1" ht="72" hidden="1">
      <c r="A82" s="276"/>
      <c r="B82" s="41"/>
      <c r="C82" s="41"/>
      <c r="D82" s="67" t="s">
        <v>543</v>
      </c>
      <c r="E82" s="43">
        <f>F82</f>
        <v>211133</v>
      </c>
      <c r="F82" s="43">
        <v>211133</v>
      </c>
      <c r="G82" s="43">
        <v>111273</v>
      </c>
      <c r="H82" s="43"/>
      <c r="I82" s="43"/>
      <c r="J82" s="43"/>
      <c r="K82" s="43"/>
      <c r="L82" s="43"/>
      <c r="M82" s="43"/>
      <c r="N82" s="43"/>
      <c r="O82" s="43"/>
      <c r="P82" s="275">
        <f t="shared" si="4"/>
        <v>211133</v>
      </c>
    </row>
    <row r="83" spans="1:16" s="40" customFormat="1" ht="72" hidden="1">
      <c r="A83" s="276"/>
      <c r="B83" s="41"/>
      <c r="C83" s="41"/>
      <c r="D83" s="67" t="s">
        <v>544</v>
      </c>
      <c r="E83" s="43"/>
      <c r="F83" s="43"/>
      <c r="G83" s="43"/>
      <c r="H83" s="43"/>
      <c r="I83" s="43"/>
      <c r="J83" s="43">
        <f>L83+O83</f>
        <v>500000</v>
      </c>
      <c r="K83" s="43">
        <f>500000</f>
        <v>500000</v>
      </c>
      <c r="L83" s="43"/>
      <c r="M83" s="43"/>
      <c r="N83" s="43"/>
      <c r="O83" s="43">
        <f>K83</f>
        <v>500000</v>
      </c>
      <c r="P83" s="275">
        <f t="shared" si="4"/>
        <v>500000</v>
      </c>
    </row>
    <row r="84" spans="1:16" s="40" customFormat="1" ht="18" hidden="1">
      <c r="A84" s="276"/>
      <c r="B84" s="41"/>
      <c r="C84" s="41"/>
      <c r="D84" s="44" t="s">
        <v>401</v>
      </c>
      <c r="E84" s="43">
        <f>F84</f>
        <v>48639221</v>
      </c>
      <c r="F84" s="43">
        <f>268834+29284+4511867+3889327+292836+41084+G84+H84+211899-140895+57553+158388</f>
        <v>48639221</v>
      </c>
      <c r="G84" s="43">
        <v>22959739</v>
      </c>
      <c r="H84" s="43">
        <f>16218410+140895</f>
        <v>16359305</v>
      </c>
      <c r="I84" s="43"/>
      <c r="J84" s="43">
        <f>L84+O84</f>
        <v>3841781</v>
      </c>
      <c r="K84" s="43">
        <f>482930+120000+586260+153365+400000+85591</f>
        <v>1828146</v>
      </c>
      <c r="L84" s="43">
        <f>6847+991074+7745+M84+N84+75</f>
        <v>2013635</v>
      </c>
      <c r="M84" s="43">
        <f>802980+176656</f>
        <v>979636</v>
      </c>
      <c r="N84" s="43">
        <v>28258</v>
      </c>
      <c r="O84" s="43">
        <f>K84</f>
        <v>1828146</v>
      </c>
      <c r="P84" s="275">
        <f t="shared" si="4"/>
        <v>52481002</v>
      </c>
    </row>
    <row r="85" spans="1:16" s="40" customFormat="1" ht="57" customHeight="1">
      <c r="A85" s="276" t="s">
        <v>545</v>
      </c>
      <c r="B85" s="41" t="s">
        <v>436</v>
      </c>
      <c r="C85" s="41" t="s">
        <v>546</v>
      </c>
      <c r="D85" s="44" t="s">
        <v>547</v>
      </c>
      <c r="E85" s="43">
        <f>F85</f>
        <v>5575957</v>
      </c>
      <c r="F85" s="43">
        <f>2514+60753+13917+2598+G85+H85-15510</f>
        <v>5575957</v>
      </c>
      <c r="G85" s="43">
        <v>5052050</v>
      </c>
      <c r="H85" s="43">
        <f>444125+15510</f>
        <v>459635</v>
      </c>
      <c r="I85" s="43"/>
      <c r="J85" s="43"/>
      <c r="K85" s="43"/>
      <c r="L85" s="43"/>
      <c r="M85" s="43"/>
      <c r="N85" s="43"/>
      <c r="O85" s="43"/>
      <c r="P85" s="275">
        <f t="shared" si="4"/>
        <v>5575957</v>
      </c>
    </row>
    <row r="86" spans="1:16" s="40" customFormat="1" ht="36">
      <c r="A86" s="276" t="s">
        <v>548</v>
      </c>
      <c r="B86" s="41" t="s">
        <v>549</v>
      </c>
      <c r="C86" s="41" t="s">
        <v>550</v>
      </c>
      <c r="D86" s="44" t="s">
        <v>551</v>
      </c>
      <c r="E86" s="43">
        <f>F86</f>
        <v>1311412</v>
      </c>
      <c r="F86" s="43">
        <f>31710+28402+2200+550+G86+H86</f>
        <v>1311412</v>
      </c>
      <c r="G86" s="43">
        <v>1207361</v>
      </c>
      <c r="H86" s="43">
        <v>41189</v>
      </c>
      <c r="I86" s="43"/>
      <c r="J86" s="43"/>
      <c r="K86" s="43"/>
      <c r="L86" s="43"/>
      <c r="M86" s="43"/>
      <c r="N86" s="43"/>
      <c r="O86" s="43"/>
      <c r="P86" s="275">
        <f t="shared" si="4"/>
        <v>1311412</v>
      </c>
    </row>
    <row r="87" spans="1:16" s="40" customFormat="1" ht="36" hidden="1">
      <c r="A87" s="276" t="s">
        <v>552</v>
      </c>
      <c r="B87" s="41" t="s">
        <v>553</v>
      </c>
      <c r="C87" s="41"/>
      <c r="D87" s="44" t="s">
        <v>554</v>
      </c>
      <c r="E87" s="43">
        <f>E88+E92</f>
        <v>2259455</v>
      </c>
      <c r="F87" s="43">
        <f aca="true" t="shared" si="14" ref="F87:O87">F88+F92</f>
        <v>2259455</v>
      </c>
      <c r="G87" s="43">
        <f t="shared" si="14"/>
        <v>1994657</v>
      </c>
      <c r="H87" s="43">
        <f t="shared" si="14"/>
        <v>71598</v>
      </c>
      <c r="I87" s="43">
        <f t="shared" si="14"/>
        <v>0</v>
      </c>
      <c r="J87" s="43">
        <f t="shared" si="14"/>
        <v>38200</v>
      </c>
      <c r="K87" s="43">
        <f t="shared" si="14"/>
        <v>38200</v>
      </c>
      <c r="L87" s="43">
        <f t="shared" si="14"/>
        <v>0</v>
      </c>
      <c r="M87" s="43">
        <f t="shared" si="14"/>
        <v>0</v>
      </c>
      <c r="N87" s="43">
        <f t="shared" si="14"/>
        <v>0</v>
      </c>
      <c r="O87" s="43">
        <f t="shared" si="14"/>
        <v>38200</v>
      </c>
      <c r="P87" s="275">
        <f aca="true" t="shared" si="15" ref="P87:P106">E87+J87</f>
        <v>2297655</v>
      </c>
    </row>
    <row r="88" spans="1:16" s="40" customFormat="1" ht="36">
      <c r="A88" s="276" t="s">
        <v>555</v>
      </c>
      <c r="B88" s="41" t="s">
        <v>556</v>
      </c>
      <c r="C88" s="41" t="s">
        <v>550</v>
      </c>
      <c r="D88" s="68" t="s">
        <v>557</v>
      </c>
      <c r="E88" s="43">
        <f>F88</f>
        <v>2138485</v>
      </c>
      <c r="F88" s="43">
        <f>F90+F91-4199-237232-28002-928948-36283</f>
        <v>2138485</v>
      </c>
      <c r="G88" s="43">
        <f>G90+G91-237232-28002-928948</f>
        <v>1994657</v>
      </c>
      <c r="H88" s="43">
        <f>H90+H91-4199-36283</f>
        <v>71598</v>
      </c>
      <c r="I88" s="69"/>
      <c r="J88" s="43">
        <f aca="true" t="shared" si="16" ref="J88:O88">J90+J91</f>
        <v>38200</v>
      </c>
      <c r="K88" s="43">
        <f t="shared" si="16"/>
        <v>38200</v>
      </c>
      <c r="L88" s="43"/>
      <c r="M88" s="43"/>
      <c r="N88" s="43"/>
      <c r="O88" s="43">
        <f t="shared" si="16"/>
        <v>38200</v>
      </c>
      <c r="P88" s="275">
        <f t="shared" si="15"/>
        <v>2176685</v>
      </c>
    </row>
    <row r="89" spans="1:16" s="40" customFormat="1" ht="18" hidden="1">
      <c r="A89" s="276"/>
      <c r="B89" s="41"/>
      <c r="C89" s="41"/>
      <c r="D89" s="66" t="s">
        <v>386</v>
      </c>
      <c r="E89" s="43"/>
      <c r="F89" s="43"/>
      <c r="G89" s="43"/>
      <c r="H89" s="43"/>
      <c r="I89" s="43"/>
      <c r="J89" s="43"/>
      <c r="K89" s="43"/>
      <c r="L89" s="43"/>
      <c r="M89" s="43"/>
      <c r="N89" s="43"/>
      <c r="O89" s="43"/>
      <c r="P89" s="275">
        <f t="shared" si="15"/>
        <v>0</v>
      </c>
    </row>
    <row r="90" spans="1:16" s="40" customFormat="1" ht="54" hidden="1">
      <c r="A90" s="276"/>
      <c r="B90" s="41"/>
      <c r="C90" s="41"/>
      <c r="D90" s="70" t="s">
        <v>558</v>
      </c>
      <c r="E90" s="43">
        <f>F90</f>
        <v>761066</v>
      </c>
      <c r="F90" s="43">
        <f>G90</f>
        <v>761066</v>
      </c>
      <c r="G90" s="43">
        <f>761066</f>
        <v>761066</v>
      </c>
      <c r="H90" s="43"/>
      <c r="I90" s="43"/>
      <c r="J90" s="43"/>
      <c r="K90" s="43"/>
      <c r="L90" s="43"/>
      <c r="M90" s="43"/>
      <c r="N90" s="43"/>
      <c r="O90" s="43"/>
      <c r="P90" s="275">
        <f t="shared" si="15"/>
        <v>761066</v>
      </c>
    </row>
    <row r="91" spans="1:16" s="40" customFormat="1" ht="18" hidden="1">
      <c r="A91" s="276"/>
      <c r="B91" s="41"/>
      <c r="C91" s="41"/>
      <c r="D91" s="44" t="s">
        <v>401</v>
      </c>
      <c r="E91" s="43">
        <f>F91</f>
        <v>2612083</v>
      </c>
      <c r="F91" s="43">
        <f>20098+51292+840+G91+H91</f>
        <v>2612083</v>
      </c>
      <c r="G91" s="43">
        <v>2427773</v>
      </c>
      <c r="H91" s="43">
        <v>112080</v>
      </c>
      <c r="I91" s="43"/>
      <c r="J91" s="43">
        <f>O91+L91</f>
        <v>38200</v>
      </c>
      <c r="K91" s="43">
        <f>38200</f>
        <v>38200</v>
      </c>
      <c r="L91" s="43"/>
      <c r="M91" s="43"/>
      <c r="N91" s="43"/>
      <c r="O91" s="43">
        <f>K91</f>
        <v>38200</v>
      </c>
      <c r="P91" s="275">
        <f t="shared" si="15"/>
        <v>2650283</v>
      </c>
    </row>
    <row r="92" spans="1:16" s="40" customFormat="1" ht="18">
      <c r="A92" s="276" t="s">
        <v>559</v>
      </c>
      <c r="B92" s="41" t="s">
        <v>560</v>
      </c>
      <c r="C92" s="41" t="s">
        <v>550</v>
      </c>
      <c r="D92" s="44" t="s">
        <v>561</v>
      </c>
      <c r="E92" s="43">
        <f>F92</f>
        <v>120970</v>
      </c>
      <c r="F92" s="43">
        <f>30770+90200</f>
        <v>120970</v>
      </c>
      <c r="G92" s="43"/>
      <c r="H92" s="43"/>
      <c r="I92" s="43"/>
      <c r="J92" s="43"/>
      <c r="K92" s="43"/>
      <c r="L92" s="43"/>
      <c r="M92" s="43"/>
      <c r="N92" s="43"/>
      <c r="O92" s="43"/>
      <c r="P92" s="275">
        <f t="shared" si="15"/>
        <v>120970</v>
      </c>
    </row>
    <row r="93" spans="1:16" s="40" customFormat="1" ht="36" hidden="1">
      <c r="A93" s="276" t="s">
        <v>562</v>
      </c>
      <c r="B93" s="41" t="s">
        <v>563</v>
      </c>
      <c r="C93" s="41"/>
      <c r="D93" s="44" t="s">
        <v>564</v>
      </c>
      <c r="E93" s="43">
        <f>E95</f>
        <v>2474871</v>
      </c>
      <c r="F93" s="43">
        <f aca="true" t="shared" si="17" ref="F93:O93">F95</f>
        <v>2474871</v>
      </c>
      <c r="G93" s="43">
        <f t="shared" si="17"/>
        <v>2029413</v>
      </c>
      <c r="H93" s="43">
        <f t="shared" si="17"/>
        <v>353921</v>
      </c>
      <c r="I93" s="43">
        <f t="shared" si="17"/>
        <v>0</v>
      </c>
      <c r="J93" s="43"/>
      <c r="K93" s="43">
        <f t="shared" si="17"/>
        <v>0</v>
      </c>
      <c r="L93" s="43">
        <f t="shared" si="17"/>
        <v>0</v>
      </c>
      <c r="M93" s="43">
        <f t="shared" si="17"/>
        <v>0</v>
      </c>
      <c r="N93" s="43">
        <f t="shared" si="17"/>
        <v>0</v>
      </c>
      <c r="O93" s="43">
        <f t="shared" si="17"/>
        <v>0</v>
      </c>
      <c r="P93" s="275">
        <f t="shared" si="15"/>
        <v>2474871</v>
      </c>
    </row>
    <row r="94" spans="1:16" s="40" customFormat="1" ht="36">
      <c r="A94" s="276" t="s">
        <v>326</v>
      </c>
      <c r="B94" s="41" t="s">
        <v>327</v>
      </c>
      <c r="C94" s="41" t="s">
        <v>550</v>
      </c>
      <c r="D94" s="44" t="s">
        <v>328</v>
      </c>
      <c r="E94" s="43">
        <f>965231</f>
        <v>965231</v>
      </c>
      <c r="F94" s="43">
        <f>965231</f>
        <v>965231</v>
      </c>
      <c r="G94" s="43">
        <v>928948</v>
      </c>
      <c r="H94" s="43">
        <v>36283</v>
      </c>
      <c r="I94" s="43"/>
      <c r="J94" s="43"/>
      <c r="K94" s="43"/>
      <c r="L94" s="43"/>
      <c r="M94" s="43"/>
      <c r="N94" s="43"/>
      <c r="O94" s="43"/>
      <c r="P94" s="275">
        <f t="shared" si="15"/>
        <v>965231</v>
      </c>
    </row>
    <row r="95" spans="1:16" s="40" customFormat="1" ht="54">
      <c r="A95" s="276" t="s">
        <v>565</v>
      </c>
      <c r="B95" s="41" t="s">
        <v>566</v>
      </c>
      <c r="C95" s="41" t="s">
        <v>567</v>
      </c>
      <c r="D95" s="44" t="s">
        <v>568</v>
      </c>
      <c r="E95" s="43">
        <f>F95</f>
        <v>2474871</v>
      </c>
      <c r="F95" s="43">
        <f>6874+26278+4520+550+G95+H95+60000-6685</f>
        <v>2474871</v>
      </c>
      <c r="G95" s="43">
        <v>2029413</v>
      </c>
      <c r="H95" s="43">
        <f>347236+6685</f>
        <v>353921</v>
      </c>
      <c r="I95" s="43"/>
      <c r="J95" s="43"/>
      <c r="K95" s="43"/>
      <c r="L95" s="43"/>
      <c r="M95" s="43"/>
      <c r="N95" s="43"/>
      <c r="O95" s="43"/>
      <c r="P95" s="275">
        <f t="shared" si="15"/>
        <v>2474871</v>
      </c>
    </row>
    <row r="96" spans="1:16" s="40" customFormat="1" ht="17.25" hidden="1">
      <c r="A96" s="274" t="s">
        <v>569</v>
      </c>
      <c r="B96" s="36" t="s">
        <v>570</v>
      </c>
      <c r="C96" s="36"/>
      <c r="D96" s="37" t="s">
        <v>571</v>
      </c>
      <c r="E96" s="38"/>
      <c r="F96" s="38"/>
      <c r="G96" s="38"/>
      <c r="H96" s="38"/>
      <c r="I96" s="38"/>
      <c r="J96" s="38"/>
      <c r="K96" s="38"/>
      <c r="L96" s="38"/>
      <c r="M96" s="38"/>
      <c r="N96" s="38"/>
      <c r="O96" s="38"/>
      <c r="P96" s="275">
        <f t="shared" si="15"/>
        <v>0</v>
      </c>
    </row>
    <row r="97" spans="1:16" s="40" customFormat="1" ht="36" hidden="1">
      <c r="A97" s="276" t="s">
        <v>572</v>
      </c>
      <c r="B97" s="41" t="s">
        <v>573</v>
      </c>
      <c r="C97" s="41" t="s">
        <v>482</v>
      </c>
      <c r="D97" s="55" t="s">
        <v>574</v>
      </c>
      <c r="E97" s="43"/>
      <c r="F97" s="43"/>
      <c r="G97" s="43"/>
      <c r="H97" s="43"/>
      <c r="I97" s="43"/>
      <c r="J97" s="43"/>
      <c r="K97" s="43"/>
      <c r="L97" s="43"/>
      <c r="M97" s="43"/>
      <c r="N97" s="43"/>
      <c r="O97" s="43"/>
      <c r="P97" s="275">
        <f t="shared" si="15"/>
        <v>0</v>
      </c>
    </row>
    <row r="98" spans="1:17" s="40" customFormat="1" ht="18">
      <c r="A98" s="276" t="s">
        <v>575</v>
      </c>
      <c r="B98" s="41" t="s">
        <v>576</v>
      </c>
      <c r="C98" s="41" t="s">
        <v>476</v>
      </c>
      <c r="D98" s="55" t="s">
        <v>577</v>
      </c>
      <c r="E98" s="43"/>
      <c r="F98" s="43"/>
      <c r="G98" s="43"/>
      <c r="H98" s="43"/>
      <c r="I98" s="43"/>
      <c r="J98" s="43">
        <f>L98+O98</f>
        <v>1209077</v>
      </c>
      <c r="K98" s="43">
        <f>SUM(K100:K101)</f>
        <v>1209077</v>
      </c>
      <c r="L98" s="43"/>
      <c r="M98" s="43"/>
      <c r="N98" s="43"/>
      <c r="O98" s="43">
        <f>SUM(O100:O101)</f>
        <v>1209077</v>
      </c>
      <c r="P98" s="275">
        <f t="shared" si="15"/>
        <v>1209077</v>
      </c>
      <c r="Q98" s="39"/>
    </row>
    <row r="99" spans="1:16" s="40" customFormat="1" ht="18" hidden="1">
      <c r="A99" s="276"/>
      <c r="B99" s="41"/>
      <c r="C99" s="41"/>
      <c r="D99" s="55" t="s">
        <v>386</v>
      </c>
      <c r="E99" s="43"/>
      <c r="F99" s="43"/>
      <c r="G99" s="43"/>
      <c r="H99" s="43"/>
      <c r="I99" s="43"/>
      <c r="J99" s="43"/>
      <c r="K99" s="43"/>
      <c r="L99" s="43"/>
      <c r="M99" s="43"/>
      <c r="N99" s="43"/>
      <c r="O99" s="43"/>
      <c r="P99" s="275">
        <f t="shared" si="15"/>
        <v>0</v>
      </c>
    </row>
    <row r="100" spans="1:16" s="40" customFormat="1" ht="72" hidden="1">
      <c r="A100" s="276"/>
      <c r="B100" s="41"/>
      <c r="C100" s="41"/>
      <c r="D100" s="67" t="s">
        <v>544</v>
      </c>
      <c r="E100" s="43"/>
      <c r="F100" s="43"/>
      <c r="G100" s="43"/>
      <c r="H100" s="43"/>
      <c r="I100" s="43"/>
      <c r="J100" s="43">
        <f>L100+O100</f>
        <v>400000</v>
      </c>
      <c r="K100" s="43">
        <v>400000</v>
      </c>
      <c r="L100" s="43"/>
      <c r="M100" s="43"/>
      <c r="N100" s="43"/>
      <c r="O100" s="43">
        <f>K100</f>
        <v>400000</v>
      </c>
      <c r="P100" s="275">
        <f t="shared" si="15"/>
        <v>400000</v>
      </c>
    </row>
    <row r="101" spans="1:16" s="40" customFormat="1" ht="18" hidden="1">
      <c r="A101" s="282"/>
      <c r="B101" s="72"/>
      <c r="C101" s="72"/>
      <c r="D101" s="90" t="s">
        <v>401</v>
      </c>
      <c r="E101" s="73"/>
      <c r="F101" s="73"/>
      <c r="G101" s="73"/>
      <c r="H101" s="73"/>
      <c r="I101" s="73"/>
      <c r="J101" s="73">
        <f>L101+O101</f>
        <v>809077</v>
      </c>
      <c r="K101" s="73">
        <f>720022+37820+51235</f>
        <v>809077</v>
      </c>
      <c r="L101" s="73"/>
      <c r="M101" s="73"/>
      <c r="N101" s="73"/>
      <c r="O101" s="73">
        <f>K101</f>
        <v>809077</v>
      </c>
      <c r="P101" s="275">
        <f t="shared" si="15"/>
        <v>809077</v>
      </c>
    </row>
    <row r="102" spans="1:16" s="40" customFormat="1" ht="54">
      <c r="A102" s="282" t="s">
        <v>237</v>
      </c>
      <c r="B102" s="72" t="s">
        <v>481</v>
      </c>
      <c r="C102" s="72" t="s">
        <v>482</v>
      </c>
      <c r="D102" s="44" t="s">
        <v>483</v>
      </c>
      <c r="E102" s="73"/>
      <c r="F102" s="73"/>
      <c r="G102" s="73"/>
      <c r="H102" s="73"/>
      <c r="I102" s="73"/>
      <c r="J102" s="73">
        <f>O102+L102</f>
        <v>597771</v>
      </c>
      <c r="K102" s="73">
        <f>597771</f>
        <v>597771</v>
      </c>
      <c r="L102" s="73"/>
      <c r="M102" s="73"/>
      <c r="N102" s="73"/>
      <c r="O102" s="73">
        <f>K102</f>
        <v>597771</v>
      </c>
      <c r="P102" s="275">
        <f t="shared" si="15"/>
        <v>597771</v>
      </c>
    </row>
    <row r="103" spans="1:16" s="40" customFormat="1" ht="54" thickBot="1">
      <c r="A103" s="278" t="s">
        <v>234</v>
      </c>
      <c r="B103" s="59" t="s">
        <v>235</v>
      </c>
      <c r="C103" s="59" t="s">
        <v>482</v>
      </c>
      <c r="D103" s="71" t="s">
        <v>236</v>
      </c>
      <c r="E103" s="61"/>
      <c r="F103" s="61"/>
      <c r="G103" s="61"/>
      <c r="H103" s="61"/>
      <c r="I103" s="61"/>
      <c r="J103" s="61">
        <f>L103+O103</f>
        <v>76684</v>
      </c>
      <c r="K103" s="61">
        <f>74450+2234</f>
        <v>76684</v>
      </c>
      <c r="L103" s="61"/>
      <c r="M103" s="61"/>
      <c r="N103" s="61"/>
      <c r="O103" s="61">
        <f>K103</f>
        <v>76684</v>
      </c>
      <c r="P103" s="279">
        <f t="shared" si="15"/>
        <v>76684</v>
      </c>
    </row>
    <row r="104" spans="1:16" s="40" customFormat="1" ht="34.5">
      <c r="A104" s="280" t="s">
        <v>578</v>
      </c>
      <c r="B104" s="63"/>
      <c r="C104" s="63"/>
      <c r="D104" s="64" t="s">
        <v>579</v>
      </c>
      <c r="E104" s="65">
        <f>E105</f>
        <v>190817638</v>
      </c>
      <c r="F104" s="65">
        <f aca="true" t="shared" si="18" ref="F104:O104">F105</f>
        <v>190817638</v>
      </c>
      <c r="G104" s="65">
        <f t="shared" si="18"/>
        <v>14102791</v>
      </c>
      <c r="H104" s="65">
        <f t="shared" si="18"/>
        <v>698056</v>
      </c>
      <c r="I104" s="65"/>
      <c r="J104" s="65">
        <f t="shared" si="18"/>
        <v>197430</v>
      </c>
      <c r="K104" s="65">
        <f t="shared" si="18"/>
        <v>152840</v>
      </c>
      <c r="L104" s="65">
        <f t="shared" si="18"/>
        <v>44590</v>
      </c>
      <c r="M104" s="65"/>
      <c r="N104" s="65">
        <f t="shared" si="18"/>
        <v>5948</v>
      </c>
      <c r="O104" s="65">
        <f t="shared" si="18"/>
        <v>152840</v>
      </c>
      <c r="P104" s="281">
        <f t="shared" si="15"/>
        <v>191015068</v>
      </c>
    </row>
    <row r="105" spans="1:16" s="40" customFormat="1" ht="34.5">
      <c r="A105" s="274" t="s">
        <v>580</v>
      </c>
      <c r="B105" s="36"/>
      <c r="C105" s="36"/>
      <c r="D105" s="37" t="s">
        <v>579</v>
      </c>
      <c r="E105" s="38">
        <f>E106+E149+E150+E151+E152+E153+E154+E155+E156+E170+E171+E172+E173+E174+E175+E176+E177+E178+E179+E180+E181+E182+E183+E185+E186+E188+E189+E190+E191+E193+E194+E198+E199+E200+E201</f>
        <v>190817638</v>
      </c>
      <c r="F105" s="38">
        <f aca="true" t="shared" si="19" ref="F105:O105">F106+F149+F150+F151+F152+F153+F154+F155+F156+F170+F171+F172+F173+F174+F175+F176+F177+F178+F179+F180+F181+F182+F183+F185+F186+F188+F189+F190+F191+F193+F194+F198+F199+F200+F201</f>
        <v>190817638</v>
      </c>
      <c r="G105" s="38">
        <f t="shared" si="19"/>
        <v>14102791</v>
      </c>
      <c r="H105" s="38">
        <f t="shared" si="19"/>
        <v>698056</v>
      </c>
      <c r="I105" s="38"/>
      <c r="J105" s="38">
        <f t="shared" si="19"/>
        <v>197430</v>
      </c>
      <c r="K105" s="38">
        <f t="shared" si="19"/>
        <v>152840</v>
      </c>
      <c r="L105" s="38">
        <f t="shared" si="19"/>
        <v>44590</v>
      </c>
      <c r="M105" s="38"/>
      <c r="N105" s="38">
        <f t="shared" si="19"/>
        <v>5948</v>
      </c>
      <c r="O105" s="38">
        <f t="shared" si="19"/>
        <v>152840</v>
      </c>
      <c r="P105" s="275">
        <f t="shared" si="15"/>
        <v>191015068</v>
      </c>
    </row>
    <row r="106" spans="1:16" s="40" customFormat="1" ht="54">
      <c r="A106" s="276" t="s">
        <v>581</v>
      </c>
      <c r="B106" s="41" t="s">
        <v>532</v>
      </c>
      <c r="C106" s="41" t="s">
        <v>384</v>
      </c>
      <c r="D106" s="44" t="s">
        <v>533</v>
      </c>
      <c r="E106" s="43">
        <f>F106</f>
        <v>9364586</v>
      </c>
      <c r="F106" s="43">
        <f>9364586</f>
        <v>9364586</v>
      </c>
      <c r="G106" s="43">
        <v>8911080</v>
      </c>
      <c r="H106" s="43">
        <f>263506+2813</f>
        <v>266319</v>
      </c>
      <c r="I106" s="38"/>
      <c r="J106" s="43">
        <f>O106+L106</f>
        <v>152840</v>
      </c>
      <c r="K106" s="43">
        <f>115890+36950</f>
        <v>152840</v>
      </c>
      <c r="L106" s="38"/>
      <c r="M106" s="38"/>
      <c r="N106" s="38"/>
      <c r="O106" s="43">
        <f>K106</f>
        <v>152840</v>
      </c>
      <c r="P106" s="275">
        <f t="shared" si="15"/>
        <v>9517426</v>
      </c>
    </row>
    <row r="107" spans="1:16" s="40" customFormat="1" ht="17.25" hidden="1">
      <c r="A107" s="274" t="s">
        <v>582</v>
      </c>
      <c r="B107" s="36" t="s">
        <v>583</v>
      </c>
      <c r="C107" s="36"/>
      <c r="D107" s="37" t="s">
        <v>584</v>
      </c>
      <c r="E107" s="38"/>
      <c r="F107" s="38"/>
      <c r="G107" s="38"/>
      <c r="H107" s="38"/>
      <c r="I107" s="38"/>
      <c r="J107" s="38"/>
      <c r="K107" s="38"/>
      <c r="L107" s="38"/>
      <c r="M107" s="38"/>
      <c r="N107" s="38"/>
      <c r="O107" s="38"/>
      <c r="P107" s="275"/>
    </row>
    <row r="108" spans="1:16" s="40" customFormat="1" ht="72" hidden="1">
      <c r="A108" s="276" t="s">
        <v>585</v>
      </c>
      <c r="B108" s="41" t="s">
        <v>586</v>
      </c>
      <c r="C108" s="41" t="s">
        <v>536</v>
      </c>
      <c r="D108" s="44" t="s">
        <v>587</v>
      </c>
      <c r="E108" s="43"/>
      <c r="F108" s="43"/>
      <c r="G108" s="53"/>
      <c r="H108" s="53"/>
      <c r="I108" s="53"/>
      <c r="J108" s="53"/>
      <c r="K108" s="53"/>
      <c r="L108" s="53"/>
      <c r="M108" s="53"/>
      <c r="N108" s="53"/>
      <c r="O108" s="53"/>
      <c r="P108" s="275"/>
    </row>
    <row r="109" spans="1:16" s="40" customFormat="1" ht="108" hidden="1">
      <c r="A109" s="276" t="s">
        <v>588</v>
      </c>
      <c r="B109" s="41" t="s">
        <v>589</v>
      </c>
      <c r="C109" s="41"/>
      <c r="D109" s="44" t="s">
        <v>590</v>
      </c>
      <c r="E109" s="43"/>
      <c r="F109" s="43"/>
      <c r="G109" s="43"/>
      <c r="H109" s="43"/>
      <c r="I109" s="43"/>
      <c r="J109" s="43"/>
      <c r="K109" s="43"/>
      <c r="L109" s="43"/>
      <c r="M109" s="43"/>
      <c r="N109" s="43"/>
      <c r="O109" s="43"/>
      <c r="P109" s="275">
        <f aca="true" t="shared" si="20" ref="P109:P172">E109+J109</f>
        <v>0</v>
      </c>
    </row>
    <row r="110" spans="1:16" s="40" customFormat="1" ht="288" hidden="1">
      <c r="A110" s="276" t="s">
        <v>591</v>
      </c>
      <c r="B110" s="41" t="s">
        <v>592</v>
      </c>
      <c r="C110" s="41" t="s">
        <v>429</v>
      </c>
      <c r="D110" s="44" t="s">
        <v>593</v>
      </c>
      <c r="E110" s="43"/>
      <c r="F110" s="43"/>
      <c r="G110" s="43"/>
      <c r="H110" s="43"/>
      <c r="I110" s="43"/>
      <c r="J110" s="43"/>
      <c r="K110" s="43"/>
      <c r="L110" s="43"/>
      <c r="M110" s="43"/>
      <c r="N110" s="43"/>
      <c r="O110" s="43"/>
      <c r="P110" s="275">
        <f t="shared" si="20"/>
        <v>0</v>
      </c>
    </row>
    <row r="111" spans="1:16" s="40" customFormat="1" ht="378" hidden="1">
      <c r="A111" s="282" t="s">
        <v>594</v>
      </c>
      <c r="B111" s="72" t="s">
        <v>595</v>
      </c>
      <c r="C111" s="72" t="s">
        <v>429</v>
      </c>
      <c r="D111" s="76" t="s">
        <v>596</v>
      </c>
      <c r="E111" s="73"/>
      <c r="F111" s="74"/>
      <c r="G111" s="73"/>
      <c r="H111" s="73"/>
      <c r="I111" s="74"/>
      <c r="J111" s="73"/>
      <c r="K111" s="73"/>
      <c r="L111" s="73"/>
      <c r="M111" s="73"/>
      <c r="N111" s="73"/>
      <c r="O111" s="73"/>
      <c r="P111" s="275">
        <f t="shared" si="20"/>
        <v>0</v>
      </c>
    </row>
    <row r="112" spans="1:16" s="40" customFormat="1" ht="342" hidden="1">
      <c r="A112" s="283"/>
      <c r="B112" s="75"/>
      <c r="C112" s="75"/>
      <c r="D112" s="76" t="s">
        <v>597</v>
      </c>
      <c r="E112" s="77"/>
      <c r="F112" s="78"/>
      <c r="G112" s="77"/>
      <c r="H112" s="77"/>
      <c r="I112" s="78"/>
      <c r="J112" s="77"/>
      <c r="K112" s="77"/>
      <c r="L112" s="77"/>
      <c r="M112" s="77"/>
      <c r="N112" s="77"/>
      <c r="O112" s="77"/>
      <c r="P112" s="275">
        <f t="shared" si="20"/>
        <v>0</v>
      </c>
    </row>
    <row r="113" spans="1:16" s="40" customFormat="1" ht="144" hidden="1">
      <c r="A113" s="277"/>
      <c r="B113" s="45"/>
      <c r="C113" s="45"/>
      <c r="D113" s="284" t="s">
        <v>598</v>
      </c>
      <c r="E113" s="79"/>
      <c r="F113" s="80"/>
      <c r="G113" s="79"/>
      <c r="H113" s="79"/>
      <c r="I113" s="80"/>
      <c r="J113" s="79"/>
      <c r="K113" s="79"/>
      <c r="L113" s="79"/>
      <c r="M113" s="79"/>
      <c r="N113" s="79"/>
      <c r="O113" s="79"/>
      <c r="P113" s="275">
        <f t="shared" si="20"/>
        <v>0</v>
      </c>
    </row>
    <row r="114" spans="1:16" s="40" customFormat="1" ht="108" hidden="1">
      <c r="A114" s="276" t="s">
        <v>599</v>
      </c>
      <c r="B114" s="41" t="s">
        <v>600</v>
      </c>
      <c r="C114" s="41" t="s">
        <v>601</v>
      </c>
      <c r="D114" s="44" t="s">
        <v>602</v>
      </c>
      <c r="E114" s="43"/>
      <c r="F114" s="43"/>
      <c r="G114" s="43"/>
      <c r="H114" s="43"/>
      <c r="I114" s="43"/>
      <c r="J114" s="43"/>
      <c r="K114" s="43"/>
      <c r="L114" s="43"/>
      <c r="M114" s="43"/>
      <c r="N114" s="43"/>
      <c r="O114" s="43"/>
      <c r="P114" s="275">
        <f t="shared" si="20"/>
        <v>0</v>
      </c>
    </row>
    <row r="115" spans="1:16" s="40" customFormat="1" ht="234" hidden="1">
      <c r="A115" s="276" t="s">
        <v>603</v>
      </c>
      <c r="B115" s="41" t="s">
        <v>604</v>
      </c>
      <c r="C115" s="41" t="s">
        <v>601</v>
      </c>
      <c r="D115" s="44" t="s">
        <v>605</v>
      </c>
      <c r="E115" s="43"/>
      <c r="F115" s="43"/>
      <c r="G115" s="43"/>
      <c r="H115" s="43"/>
      <c r="I115" s="43"/>
      <c r="J115" s="43"/>
      <c r="K115" s="43"/>
      <c r="L115" s="43"/>
      <c r="M115" s="43"/>
      <c r="N115" s="43"/>
      <c r="O115" s="43"/>
      <c r="P115" s="275">
        <f t="shared" si="20"/>
        <v>0</v>
      </c>
    </row>
    <row r="116" spans="1:16" s="40" customFormat="1" ht="36" hidden="1">
      <c r="A116" s="276" t="s">
        <v>606</v>
      </c>
      <c r="B116" s="41" t="s">
        <v>607</v>
      </c>
      <c r="C116" s="41" t="s">
        <v>601</v>
      </c>
      <c r="D116" s="44" t="s">
        <v>608</v>
      </c>
      <c r="E116" s="43"/>
      <c r="F116" s="43"/>
      <c r="G116" s="43"/>
      <c r="H116" s="43"/>
      <c r="I116" s="43"/>
      <c r="J116" s="43"/>
      <c r="K116" s="43"/>
      <c r="L116" s="43"/>
      <c r="M116" s="43"/>
      <c r="N116" s="43"/>
      <c r="O116" s="43"/>
      <c r="P116" s="275">
        <f t="shared" si="20"/>
        <v>0</v>
      </c>
    </row>
    <row r="117" spans="1:16" s="40" customFormat="1" ht="54" hidden="1">
      <c r="A117" s="276" t="s">
        <v>609</v>
      </c>
      <c r="B117" s="41" t="s">
        <v>610</v>
      </c>
      <c r="C117" s="41" t="s">
        <v>586</v>
      </c>
      <c r="D117" s="44" t="s">
        <v>611</v>
      </c>
      <c r="E117" s="43"/>
      <c r="F117" s="43"/>
      <c r="G117" s="43"/>
      <c r="H117" s="43"/>
      <c r="I117" s="43"/>
      <c r="J117" s="43"/>
      <c r="K117" s="43"/>
      <c r="L117" s="43"/>
      <c r="M117" s="43"/>
      <c r="N117" s="43"/>
      <c r="O117" s="43"/>
      <c r="P117" s="275">
        <f t="shared" si="20"/>
        <v>0</v>
      </c>
    </row>
    <row r="118" spans="1:16" s="40" customFormat="1" ht="54" hidden="1">
      <c r="A118" s="276" t="s">
        <v>612</v>
      </c>
      <c r="B118" s="41" t="s">
        <v>613</v>
      </c>
      <c r="C118" s="41"/>
      <c r="D118" s="44" t="s">
        <v>614</v>
      </c>
      <c r="E118" s="43"/>
      <c r="F118" s="43"/>
      <c r="G118" s="53"/>
      <c r="H118" s="53"/>
      <c r="I118" s="53"/>
      <c r="J118" s="53"/>
      <c r="K118" s="53"/>
      <c r="L118" s="53"/>
      <c r="M118" s="53"/>
      <c r="N118" s="53"/>
      <c r="O118" s="53"/>
      <c r="P118" s="275">
        <f t="shared" si="20"/>
        <v>0</v>
      </c>
    </row>
    <row r="119" spans="1:16" s="40" customFormat="1" ht="234" hidden="1">
      <c r="A119" s="276" t="s">
        <v>615</v>
      </c>
      <c r="B119" s="41" t="s">
        <v>616</v>
      </c>
      <c r="C119" s="41" t="s">
        <v>429</v>
      </c>
      <c r="D119" s="44" t="s">
        <v>617</v>
      </c>
      <c r="E119" s="43"/>
      <c r="F119" s="43"/>
      <c r="G119" s="43"/>
      <c r="H119" s="43"/>
      <c r="I119" s="43"/>
      <c r="J119" s="43"/>
      <c r="K119" s="43"/>
      <c r="L119" s="43"/>
      <c r="M119" s="43"/>
      <c r="N119" s="43"/>
      <c r="O119" s="43"/>
      <c r="P119" s="275">
        <f t="shared" si="20"/>
        <v>0</v>
      </c>
    </row>
    <row r="120" spans="1:16" s="40" customFormat="1" ht="108" hidden="1">
      <c r="A120" s="276" t="s">
        <v>618</v>
      </c>
      <c r="B120" s="41" t="s">
        <v>619</v>
      </c>
      <c r="C120" s="41" t="s">
        <v>601</v>
      </c>
      <c r="D120" s="44" t="s">
        <v>620</v>
      </c>
      <c r="E120" s="43"/>
      <c r="F120" s="43"/>
      <c r="G120" s="43"/>
      <c r="H120" s="43"/>
      <c r="I120" s="43"/>
      <c r="J120" s="43"/>
      <c r="K120" s="43"/>
      <c r="L120" s="43"/>
      <c r="M120" s="43"/>
      <c r="N120" s="43"/>
      <c r="O120" s="43"/>
      <c r="P120" s="275">
        <f t="shared" si="20"/>
        <v>0</v>
      </c>
    </row>
    <row r="121" spans="1:16" s="40" customFormat="1" ht="234" hidden="1">
      <c r="A121" s="276" t="s">
        <v>621</v>
      </c>
      <c r="B121" s="41" t="s">
        <v>622</v>
      </c>
      <c r="C121" s="41" t="s">
        <v>601</v>
      </c>
      <c r="D121" s="44" t="s">
        <v>623</v>
      </c>
      <c r="E121" s="43"/>
      <c r="F121" s="43"/>
      <c r="G121" s="43"/>
      <c r="H121" s="43"/>
      <c r="I121" s="43"/>
      <c r="J121" s="43"/>
      <c r="K121" s="43"/>
      <c r="L121" s="43"/>
      <c r="M121" s="43"/>
      <c r="N121" s="43"/>
      <c r="O121" s="43"/>
      <c r="P121" s="275">
        <f t="shared" si="20"/>
        <v>0</v>
      </c>
    </row>
    <row r="122" spans="1:16" s="40" customFormat="1" ht="54" hidden="1">
      <c r="A122" s="276" t="s">
        <v>624</v>
      </c>
      <c r="B122" s="41" t="s">
        <v>625</v>
      </c>
      <c r="C122" s="41" t="s">
        <v>601</v>
      </c>
      <c r="D122" s="44" t="s">
        <v>626</v>
      </c>
      <c r="E122" s="43"/>
      <c r="F122" s="43"/>
      <c r="G122" s="43"/>
      <c r="H122" s="43"/>
      <c r="I122" s="43"/>
      <c r="J122" s="43"/>
      <c r="K122" s="43"/>
      <c r="L122" s="43"/>
      <c r="M122" s="43"/>
      <c r="N122" s="43"/>
      <c r="O122" s="43"/>
      <c r="P122" s="275">
        <f t="shared" si="20"/>
        <v>0</v>
      </c>
    </row>
    <row r="123" spans="1:16" s="40" customFormat="1" ht="72" hidden="1">
      <c r="A123" s="276" t="s">
        <v>627</v>
      </c>
      <c r="B123" s="41" t="s">
        <v>628</v>
      </c>
      <c r="C123" s="41" t="s">
        <v>586</v>
      </c>
      <c r="D123" s="44" t="s">
        <v>629</v>
      </c>
      <c r="E123" s="43"/>
      <c r="F123" s="43"/>
      <c r="G123" s="43"/>
      <c r="H123" s="43"/>
      <c r="I123" s="43"/>
      <c r="J123" s="43"/>
      <c r="K123" s="43"/>
      <c r="L123" s="43"/>
      <c r="M123" s="43"/>
      <c r="N123" s="43"/>
      <c r="O123" s="43"/>
      <c r="P123" s="275">
        <f t="shared" si="20"/>
        <v>0</v>
      </c>
    </row>
    <row r="124" spans="1:16" s="40" customFormat="1" ht="252" hidden="1">
      <c r="A124" s="276" t="s">
        <v>630</v>
      </c>
      <c r="B124" s="41" t="s">
        <v>631</v>
      </c>
      <c r="C124" s="81"/>
      <c r="D124" s="44" t="s">
        <v>632</v>
      </c>
      <c r="E124" s="43"/>
      <c r="F124" s="43"/>
      <c r="G124" s="53"/>
      <c r="H124" s="53"/>
      <c r="I124" s="53"/>
      <c r="J124" s="53"/>
      <c r="K124" s="53"/>
      <c r="L124" s="53"/>
      <c r="M124" s="53"/>
      <c r="N124" s="53"/>
      <c r="O124" s="53"/>
      <c r="P124" s="275">
        <f t="shared" si="20"/>
        <v>0</v>
      </c>
    </row>
    <row r="125" spans="1:16" s="40" customFormat="1" ht="108" hidden="1">
      <c r="A125" s="276" t="s">
        <v>633</v>
      </c>
      <c r="B125" s="41" t="s">
        <v>634</v>
      </c>
      <c r="C125" s="41" t="s">
        <v>601</v>
      </c>
      <c r="D125" s="44" t="s">
        <v>635</v>
      </c>
      <c r="E125" s="43"/>
      <c r="F125" s="43"/>
      <c r="G125" s="53"/>
      <c r="H125" s="53"/>
      <c r="I125" s="53"/>
      <c r="J125" s="53"/>
      <c r="K125" s="53"/>
      <c r="L125" s="53"/>
      <c r="M125" s="53"/>
      <c r="N125" s="53"/>
      <c r="O125" s="53"/>
      <c r="P125" s="275">
        <f t="shared" si="20"/>
        <v>0</v>
      </c>
    </row>
    <row r="126" spans="1:16" s="40" customFormat="1" ht="36" hidden="1">
      <c r="A126" s="276" t="s">
        <v>636</v>
      </c>
      <c r="B126" s="41" t="s">
        <v>637</v>
      </c>
      <c r="C126" s="41" t="s">
        <v>601</v>
      </c>
      <c r="D126" s="44" t="s">
        <v>638</v>
      </c>
      <c r="E126" s="43"/>
      <c r="F126" s="43"/>
      <c r="G126" s="53"/>
      <c r="H126" s="53"/>
      <c r="I126" s="53"/>
      <c r="J126" s="53"/>
      <c r="K126" s="53"/>
      <c r="L126" s="53"/>
      <c r="M126" s="53"/>
      <c r="N126" s="53"/>
      <c r="O126" s="53"/>
      <c r="P126" s="275">
        <f t="shared" si="20"/>
        <v>0</v>
      </c>
    </row>
    <row r="127" spans="1:16" s="40" customFormat="1" ht="54" hidden="1">
      <c r="A127" s="276" t="s">
        <v>639</v>
      </c>
      <c r="B127" s="41" t="s">
        <v>640</v>
      </c>
      <c r="C127" s="41" t="s">
        <v>601</v>
      </c>
      <c r="D127" s="44" t="s">
        <v>641</v>
      </c>
      <c r="E127" s="43"/>
      <c r="F127" s="43"/>
      <c r="G127" s="43"/>
      <c r="H127" s="43"/>
      <c r="I127" s="43"/>
      <c r="J127" s="43"/>
      <c r="K127" s="43"/>
      <c r="L127" s="43"/>
      <c r="M127" s="43"/>
      <c r="N127" s="43"/>
      <c r="O127" s="43"/>
      <c r="P127" s="275">
        <f t="shared" si="20"/>
        <v>0</v>
      </c>
    </row>
    <row r="128" spans="1:16" s="40" customFormat="1" ht="54" hidden="1">
      <c r="A128" s="276" t="s">
        <v>642</v>
      </c>
      <c r="B128" s="41" t="s">
        <v>643</v>
      </c>
      <c r="C128" s="41" t="s">
        <v>601</v>
      </c>
      <c r="D128" s="44" t="s">
        <v>644</v>
      </c>
      <c r="E128" s="43"/>
      <c r="F128" s="43"/>
      <c r="G128" s="43"/>
      <c r="H128" s="43"/>
      <c r="I128" s="43"/>
      <c r="J128" s="43"/>
      <c r="K128" s="43"/>
      <c r="L128" s="43"/>
      <c r="M128" s="43"/>
      <c r="N128" s="43"/>
      <c r="O128" s="43"/>
      <c r="P128" s="275">
        <f t="shared" si="20"/>
        <v>0</v>
      </c>
    </row>
    <row r="129" spans="1:16" s="40" customFormat="1" ht="72" hidden="1">
      <c r="A129" s="276" t="s">
        <v>645</v>
      </c>
      <c r="B129" s="41" t="s">
        <v>646</v>
      </c>
      <c r="C129" s="41"/>
      <c r="D129" s="82" t="s">
        <v>647</v>
      </c>
      <c r="E129" s="43"/>
      <c r="F129" s="43"/>
      <c r="G129" s="53"/>
      <c r="H129" s="53"/>
      <c r="I129" s="53"/>
      <c r="J129" s="53"/>
      <c r="K129" s="53"/>
      <c r="L129" s="53"/>
      <c r="M129" s="53"/>
      <c r="N129" s="53"/>
      <c r="O129" s="53"/>
      <c r="P129" s="275">
        <f t="shared" si="20"/>
        <v>0</v>
      </c>
    </row>
    <row r="130" spans="1:16" s="40" customFormat="1" ht="36" hidden="1">
      <c r="A130" s="276" t="s">
        <v>648</v>
      </c>
      <c r="B130" s="41" t="s">
        <v>649</v>
      </c>
      <c r="C130" s="41" t="s">
        <v>422</v>
      </c>
      <c r="D130" s="44" t="s">
        <v>650</v>
      </c>
      <c r="E130" s="43"/>
      <c r="F130" s="43"/>
      <c r="G130" s="43"/>
      <c r="H130" s="43"/>
      <c r="I130" s="43"/>
      <c r="J130" s="43"/>
      <c r="K130" s="43"/>
      <c r="L130" s="43"/>
      <c r="M130" s="43"/>
      <c r="N130" s="43"/>
      <c r="O130" s="43"/>
      <c r="P130" s="275">
        <f t="shared" si="20"/>
        <v>0</v>
      </c>
    </row>
    <row r="131" spans="1:16" s="40" customFormat="1" ht="36" hidden="1">
      <c r="A131" s="276" t="s">
        <v>651</v>
      </c>
      <c r="B131" s="41" t="s">
        <v>652</v>
      </c>
      <c r="C131" s="41" t="s">
        <v>422</v>
      </c>
      <c r="D131" s="44" t="s">
        <v>653</v>
      </c>
      <c r="E131" s="43"/>
      <c r="F131" s="43"/>
      <c r="G131" s="43"/>
      <c r="H131" s="43"/>
      <c r="I131" s="43"/>
      <c r="J131" s="43"/>
      <c r="K131" s="43"/>
      <c r="L131" s="43"/>
      <c r="M131" s="43"/>
      <c r="N131" s="43"/>
      <c r="O131" s="43"/>
      <c r="P131" s="275">
        <f t="shared" si="20"/>
        <v>0</v>
      </c>
    </row>
    <row r="132" spans="1:16" s="40" customFormat="1" ht="18" hidden="1">
      <c r="A132" s="276" t="s">
        <v>654</v>
      </c>
      <c r="B132" s="41" t="s">
        <v>655</v>
      </c>
      <c r="C132" s="41" t="s">
        <v>422</v>
      </c>
      <c r="D132" s="44" t="s">
        <v>656</v>
      </c>
      <c r="E132" s="43"/>
      <c r="F132" s="43"/>
      <c r="G132" s="43"/>
      <c r="H132" s="43"/>
      <c r="I132" s="43"/>
      <c r="J132" s="43"/>
      <c r="K132" s="43"/>
      <c r="L132" s="43"/>
      <c r="M132" s="43"/>
      <c r="N132" s="43"/>
      <c r="O132" s="43"/>
      <c r="P132" s="275">
        <f t="shared" si="20"/>
        <v>0</v>
      </c>
    </row>
    <row r="133" spans="1:16" s="40" customFormat="1" ht="36" hidden="1">
      <c r="A133" s="276" t="s">
        <v>657</v>
      </c>
      <c r="B133" s="41" t="s">
        <v>658</v>
      </c>
      <c r="C133" s="41" t="s">
        <v>422</v>
      </c>
      <c r="D133" s="44" t="s">
        <v>659</v>
      </c>
      <c r="E133" s="43"/>
      <c r="F133" s="43"/>
      <c r="G133" s="43"/>
      <c r="H133" s="43"/>
      <c r="I133" s="43"/>
      <c r="J133" s="43"/>
      <c r="K133" s="43"/>
      <c r="L133" s="43"/>
      <c r="M133" s="43"/>
      <c r="N133" s="43"/>
      <c r="O133" s="43"/>
      <c r="P133" s="275">
        <f t="shared" si="20"/>
        <v>0</v>
      </c>
    </row>
    <row r="134" spans="1:16" s="40" customFormat="1" ht="18" hidden="1">
      <c r="A134" s="276" t="s">
        <v>660</v>
      </c>
      <c r="B134" s="41" t="s">
        <v>661</v>
      </c>
      <c r="C134" s="41" t="s">
        <v>422</v>
      </c>
      <c r="D134" s="44" t="s">
        <v>662</v>
      </c>
      <c r="E134" s="43"/>
      <c r="F134" s="43"/>
      <c r="G134" s="43"/>
      <c r="H134" s="43"/>
      <c r="I134" s="43"/>
      <c r="J134" s="43"/>
      <c r="K134" s="43"/>
      <c r="L134" s="43"/>
      <c r="M134" s="43"/>
      <c r="N134" s="43"/>
      <c r="O134" s="43"/>
      <c r="P134" s="275">
        <f t="shared" si="20"/>
        <v>0</v>
      </c>
    </row>
    <row r="135" spans="1:16" s="40" customFormat="1" ht="36" hidden="1">
      <c r="A135" s="276" t="s">
        <v>663</v>
      </c>
      <c r="B135" s="41" t="s">
        <v>664</v>
      </c>
      <c r="C135" s="41" t="s">
        <v>422</v>
      </c>
      <c r="D135" s="44" t="s">
        <v>665</v>
      </c>
      <c r="E135" s="43"/>
      <c r="F135" s="43"/>
      <c r="G135" s="43"/>
      <c r="H135" s="43"/>
      <c r="I135" s="43"/>
      <c r="J135" s="43"/>
      <c r="K135" s="43"/>
      <c r="L135" s="43"/>
      <c r="M135" s="43"/>
      <c r="N135" s="43"/>
      <c r="O135" s="43"/>
      <c r="P135" s="275">
        <f t="shared" si="20"/>
        <v>0</v>
      </c>
    </row>
    <row r="136" spans="1:16" s="40" customFormat="1" ht="18" hidden="1">
      <c r="A136" s="276" t="s">
        <v>666</v>
      </c>
      <c r="B136" s="41" t="s">
        <v>667</v>
      </c>
      <c r="C136" s="41" t="s">
        <v>422</v>
      </c>
      <c r="D136" s="44" t="s">
        <v>668</v>
      </c>
      <c r="E136" s="43"/>
      <c r="F136" s="43"/>
      <c r="G136" s="43"/>
      <c r="H136" s="43"/>
      <c r="I136" s="43"/>
      <c r="J136" s="43"/>
      <c r="K136" s="43"/>
      <c r="L136" s="43"/>
      <c r="M136" s="43"/>
      <c r="N136" s="43"/>
      <c r="O136" s="43"/>
      <c r="P136" s="275">
        <f t="shared" si="20"/>
        <v>0</v>
      </c>
    </row>
    <row r="137" spans="1:16" s="40" customFormat="1" ht="36" hidden="1">
      <c r="A137" s="276" t="s">
        <v>669</v>
      </c>
      <c r="B137" s="41" t="s">
        <v>670</v>
      </c>
      <c r="C137" s="41" t="s">
        <v>422</v>
      </c>
      <c r="D137" s="44" t="s">
        <v>671</v>
      </c>
      <c r="E137" s="43"/>
      <c r="F137" s="43"/>
      <c r="G137" s="43"/>
      <c r="H137" s="43"/>
      <c r="I137" s="43"/>
      <c r="J137" s="43"/>
      <c r="K137" s="43"/>
      <c r="L137" s="43"/>
      <c r="M137" s="43"/>
      <c r="N137" s="43"/>
      <c r="O137" s="43"/>
      <c r="P137" s="275">
        <f t="shared" si="20"/>
        <v>0</v>
      </c>
    </row>
    <row r="138" spans="1:16" s="40" customFormat="1" ht="36" hidden="1">
      <c r="A138" s="276" t="s">
        <v>672</v>
      </c>
      <c r="B138" s="41" t="s">
        <v>673</v>
      </c>
      <c r="C138" s="41" t="s">
        <v>535</v>
      </c>
      <c r="D138" s="44" t="s">
        <v>674</v>
      </c>
      <c r="E138" s="43"/>
      <c r="F138" s="43"/>
      <c r="G138" s="43"/>
      <c r="H138" s="43"/>
      <c r="I138" s="43"/>
      <c r="J138" s="43"/>
      <c r="K138" s="43"/>
      <c r="L138" s="43"/>
      <c r="M138" s="43"/>
      <c r="N138" s="43"/>
      <c r="O138" s="43"/>
      <c r="P138" s="275">
        <f t="shared" si="20"/>
        <v>0</v>
      </c>
    </row>
    <row r="139" spans="1:16" s="40" customFormat="1" ht="54" hidden="1">
      <c r="A139" s="276" t="s">
        <v>675</v>
      </c>
      <c r="B139" s="41" t="s">
        <v>676</v>
      </c>
      <c r="C139" s="41" t="s">
        <v>601</v>
      </c>
      <c r="D139" s="44" t="s">
        <v>677</v>
      </c>
      <c r="E139" s="43"/>
      <c r="F139" s="43"/>
      <c r="G139" s="38"/>
      <c r="H139" s="38"/>
      <c r="I139" s="38"/>
      <c r="J139" s="38"/>
      <c r="K139" s="38"/>
      <c r="L139" s="38"/>
      <c r="M139" s="38"/>
      <c r="N139" s="38"/>
      <c r="O139" s="38"/>
      <c r="P139" s="275">
        <f t="shared" si="20"/>
        <v>0</v>
      </c>
    </row>
    <row r="140" spans="1:16" s="40" customFormat="1" ht="36" hidden="1">
      <c r="A140" s="276" t="s">
        <v>678</v>
      </c>
      <c r="B140" s="41" t="s">
        <v>679</v>
      </c>
      <c r="C140" s="41" t="s">
        <v>535</v>
      </c>
      <c r="D140" s="44" t="s">
        <v>680</v>
      </c>
      <c r="E140" s="43"/>
      <c r="F140" s="43"/>
      <c r="G140" s="38"/>
      <c r="H140" s="38"/>
      <c r="I140" s="38"/>
      <c r="J140" s="38"/>
      <c r="K140" s="38"/>
      <c r="L140" s="38"/>
      <c r="M140" s="38"/>
      <c r="N140" s="38"/>
      <c r="O140" s="38"/>
      <c r="P140" s="275">
        <f t="shared" si="20"/>
        <v>0</v>
      </c>
    </row>
    <row r="141" spans="1:16" s="40" customFormat="1" ht="36" hidden="1">
      <c r="A141" s="276" t="s">
        <v>681</v>
      </c>
      <c r="B141" s="41" t="s">
        <v>682</v>
      </c>
      <c r="C141" s="41" t="s">
        <v>429</v>
      </c>
      <c r="D141" s="44" t="s">
        <v>683</v>
      </c>
      <c r="E141" s="43"/>
      <c r="F141" s="43"/>
      <c r="G141" s="38"/>
      <c r="H141" s="38"/>
      <c r="I141" s="38"/>
      <c r="J141" s="38"/>
      <c r="K141" s="38"/>
      <c r="L141" s="38"/>
      <c r="M141" s="38"/>
      <c r="N141" s="38"/>
      <c r="O141" s="38"/>
      <c r="P141" s="275">
        <f t="shared" si="20"/>
        <v>0</v>
      </c>
    </row>
    <row r="142" spans="1:16" s="40" customFormat="1" ht="115.5" customHeight="1" hidden="1">
      <c r="A142" s="276" t="s">
        <v>684</v>
      </c>
      <c r="B142" s="41" t="s">
        <v>589</v>
      </c>
      <c r="C142" s="41"/>
      <c r="D142" s="44" t="s">
        <v>590</v>
      </c>
      <c r="E142" s="43"/>
      <c r="F142" s="43"/>
      <c r="G142" s="38"/>
      <c r="H142" s="38"/>
      <c r="I142" s="38"/>
      <c r="J142" s="38"/>
      <c r="K142" s="38"/>
      <c r="L142" s="38"/>
      <c r="M142" s="38"/>
      <c r="N142" s="38"/>
      <c r="O142" s="38"/>
      <c r="P142" s="275">
        <f t="shared" si="20"/>
        <v>0</v>
      </c>
    </row>
    <row r="143" spans="1:16" s="40" customFormat="1" ht="63" customHeight="1" hidden="1">
      <c r="A143" s="276" t="s">
        <v>685</v>
      </c>
      <c r="B143" s="41" t="s">
        <v>592</v>
      </c>
      <c r="C143" s="41" t="s">
        <v>429</v>
      </c>
      <c r="D143" s="44" t="s">
        <v>686</v>
      </c>
      <c r="E143" s="43"/>
      <c r="F143" s="43"/>
      <c r="G143" s="38"/>
      <c r="H143" s="38"/>
      <c r="I143" s="38"/>
      <c r="J143" s="38"/>
      <c r="K143" s="38"/>
      <c r="L143" s="38"/>
      <c r="M143" s="38"/>
      <c r="N143" s="38"/>
      <c r="O143" s="38"/>
      <c r="P143" s="275">
        <f t="shared" si="20"/>
        <v>0</v>
      </c>
    </row>
    <row r="144" spans="1:16" s="40" customFormat="1" ht="54" hidden="1">
      <c r="A144" s="276" t="s">
        <v>687</v>
      </c>
      <c r="B144" s="41" t="s">
        <v>595</v>
      </c>
      <c r="C144" s="41" t="s">
        <v>586</v>
      </c>
      <c r="D144" s="44" t="s">
        <v>688</v>
      </c>
      <c r="E144" s="43"/>
      <c r="F144" s="43"/>
      <c r="G144" s="38"/>
      <c r="H144" s="38"/>
      <c r="I144" s="38"/>
      <c r="J144" s="38"/>
      <c r="K144" s="38"/>
      <c r="L144" s="38"/>
      <c r="M144" s="38"/>
      <c r="N144" s="38"/>
      <c r="O144" s="38"/>
      <c r="P144" s="275">
        <f t="shared" si="20"/>
        <v>0</v>
      </c>
    </row>
    <row r="145" spans="1:16" s="40" customFormat="1" ht="54" hidden="1">
      <c r="A145" s="276" t="s">
        <v>689</v>
      </c>
      <c r="B145" s="41" t="s">
        <v>613</v>
      </c>
      <c r="C145" s="41"/>
      <c r="D145" s="44" t="s">
        <v>614</v>
      </c>
      <c r="E145" s="43"/>
      <c r="F145" s="43"/>
      <c r="G145" s="38"/>
      <c r="H145" s="38"/>
      <c r="I145" s="38"/>
      <c r="J145" s="38"/>
      <c r="K145" s="38"/>
      <c r="L145" s="38"/>
      <c r="M145" s="38"/>
      <c r="N145" s="38"/>
      <c r="O145" s="38"/>
      <c r="P145" s="275">
        <f t="shared" si="20"/>
        <v>0</v>
      </c>
    </row>
    <row r="146" spans="1:16" s="40" customFormat="1" ht="82.5" customHeight="1" hidden="1">
      <c r="A146" s="276" t="s">
        <v>690</v>
      </c>
      <c r="B146" s="41" t="s">
        <v>616</v>
      </c>
      <c r="C146" s="41" t="s">
        <v>429</v>
      </c>
      <c r="D146" s="44" t="s">
        <v>691</v>
      </c>
      <c r="E146" s="43"/>
      <c r="F146" s="43"/>
      <c r="G146" s="38"/>
      <c r="H146" s="38"/>
      <c r="I146" s="38"/>
      <c r="J146" s="38"/>
      <c r="K146" s="38"/>
      <c r="L146" s="38"/>
      <c r="M146" s="38"/>
      <c r="N146" s="38"/>
      <c r="O146" s="38"/>
      <c r="P146" s="275">
        <f t="shared" si="20"/>
        <v>0</v>
      </c>
    </row>
    <row r="147" spans="1:16" s="40" customFormat="1" ht="87" customHeight="1" hidden="1">
      <c r="A147" s="276" t="s">
        <v>692</v>
      </c>
      <c r="B147" s="41" t="s">
        <v>693</v>
      </c>
      <c r="C147" s="41" t="s">
        <v>586</v>
      </c>
      <c r="D147" s="44" t="s">
        <v>629</v>
      </c>
      <c r="E147" s="43"/>
      <c r="F147" s="43"/>
      <c r="G147" s="38"/>
      <c r="H147" s="38"/>
      <c r="I147" s="38"/>
      <c r="J147" s="38"/>
      <c r="K147" s="38"/>
      <c r="L147" s="38"/>
      <c r="M147" s="38"/>
      <c r="N147" s="38"/>
      <c r="O147" s="38"/>
      <c r="P147" s="275">
        <f t="shared" si="20"/>
        <v>0</v>
      </c>
    </row>
    <row r="148" spans="1:16" s="40" customFormat="1" ht="98.25" customHeight="1" hidden="1">
      <c r="A148" s="276" t="s">
        <v>694</v>
      </c>
      <c r="B148" s="41" t="s">
        <v>631</v>
      </c>
      <c r="C148" s="41"/>
      <c r="D148" s="76" t="s">
        <v>695</v>
      </c>
      <c r="E148" s="43"/>
      <c r="F148" s="43"/>
      <c r="G148" s="43"/>
      <c r="H148" s="43"/>
      <c r="I148" s="43"/>
      <c r="J148" s="43"/>
      <c r="K148" s="43"/>
      <c r="L148" s="43"/>
      <c r="M148" s="43"/>
      <c r="N148" s="43"/>
      <c r="O148" s="43"/>
      <c r="P148" s="275">
        <f t="shared" si="20"/>
        <v>0</v>
      </c>
    </row>
    <row r="149" spans="1:16" s="40" customFormat="1" ht="67.5" customHeight="1">
      <c r="A149" s="276" t="s">
        <v>685</v>
      </c>
      <c r="B149" s="41" t="s">
        <v>592</v>
      </c>
      <c r="C149" s="41" t="s">
        <v>429</v>
      </c>
      <c r="D149" s="83" t="s">
        <v>686</v>
      </c>
      <c r="E149" s="43">
        <f>F149</f>
        <v>6039735</v>
      </c>
      <c r="F149" s="43">
        <v>6039735</v>
      </c>
      <c r="G149" s="43"/>
      <c r="H149" s="43"/>
      <c r="I149" s="43"/>
      <c r="J149" s="43"/>
      <c r="K149" s="43"/>
      <c r="L149" s="43"/>
      <c r="M149" s="43"/>
      <c r="N149" s="43"/>
      <c r="O149" s="43"/>
      <c r="P149" s="275">
        <f t="shared" si="20"/>
        <v>6039735</v>
      </c>
    </row>
    <row r="150" spans="1:16" s="40" customFormat="1" ht="65.25" customHeight="1">
      <c r="A150" s="276" t="s">
        <v>687</v>
      </c>
      <c r="B150" s="41" t="s">
        <v>595</v>
      </c>
      <c r="C150" s="41" t="s">
        <v>586</v>
      </c>
      <c r="D150" s="76" t="s">
        <v>696</v>
      </c>
      <c r="E150" s="43">
        <f>F150</f>
        <v>57339965</v>
      </c>
      <c r="F150" s="43">
        <v>57339965</v>
      </c>
      <c r="G150" s="43"/>
      <c r="H150" s="43"/>
      <c r="I150" s="43"/>
      <c r="J150" s="43"/>
      <c r="K150" s="43"/>
      <c r="L150" s="43"/>
      <c r="M150" s="43"/>
      <c r="N150" s="43"/>
      <c r="O150" s="43"/>
      <c r="P150" s="275">
        <f t="shared" si="20"/>
        <v>57339965</v>
      </c>
    </row>
    <row r="151" spans="1:16" s="40" customFormat="1" ht="78.75" customHeight="1">
      <c r="A151" s="276" t="s">
        <v>690</v>
      </c>
      <c r="B151" s="41" t="s">
        <v>616</v>
      </c>
      <c r="C151" s="84" t="s">
        <v>429</v>
      </c>
      <c r="D151" s="44" t="s">
        <v>691</v>
      </c>
      <c r="E151" s="43">
        <f>F151</f>
        <v>98795</v>
      </c>
      <c r="F151" s="43">
        <v>98795</v>
      </c>
      <c r="G151" s="43"/>
      <c r="H151" s="43"/>
      <c r="I151" s="43"/>
      <c r="J151" s="43"/>
      <c r="K151" s="43"/>
      <c r="L151" s="43"/>
      <c r="M151" s="43"/>
      <c r="N151" s="43"/>
      <c r="O151" s="43"/>
      <c r="P151" s="275">
        <f t="shared" si="20"/>
        <v>98795</v>
      </c>
    </row>
    <row r="152" spans="1:16" s="40" customFormat="1" ht="84.75" customHeight="1">
      <c r="A152" s="276" t="s">
        <v>692</v>
      </c>
      <c r="B152" s="41" t="s">
        <v>693</v>
      </c>
      <c r="C152" s="84" t="s">
        <v>586</v>
      </c>
      <c r="D152" s="44" t="s">
        <v>629</v>
      </c>
      <c r="E152" s="43">
        <f>F152</f>
        <v>1308305</v>
      </c>
      <c r="F152" s="43">
        <v>1308305</v>
      </c>
      <c r="G152" s="43"/>
      <c r="H152" s="43"/>
      <c r="I152" s="43"/>
      <c r="J152" s="43"/>
      <c r="K152" s="43"/>
      <c r="L152" s="43"/>
      <c r="M152" s="43"/>
      <c r="N152" s="43"/>
      <c r="O152" s="43"/>
      <c r="P152" s="275">
        <f t="shared" si="20"/>
        <v>1308305</v>
      </c>
    </row>
    <row r="153" spans="1:16" s="40" customFormat="1" ht="40.5" customHeight="1">
      <c r="A153" s="276" t="s">
        <v>697</v>
      </c>
      <c r="B153" s="41" t="s">
        <v>698</v>
      </c>
      <c r="C153" s="84" t="s">
        <v>429</v>
      </c>
      <c r="D153" s="42" t="s">
        <v>699</v>
      </c>
      <c r="E153" s="43">
        <f>F153</f>
        <v>17200</v>
      </c>
      <c r="F153" s="43">
        <v>17200</v>
      </c>
      <c r="G153" s="43"/>
      <c r="H153" s="43"/>
      <c r="I153" s="38"/>
      <c r="J153" s="43"/>
      <c r="K153" s="43"/>
      <c r="L153" s="38"/>
      <c r="M153" s="38"/>
      <c r="N153" s="38"/>
      <c r="O153" s="38"/>
      <c r="P153" s="275">
        <f t="shared" si="20"/>
        <v>17200</v>
      </c>
    </row>
    <row r="154" spans="1:16" s="40" customFormat="1" ht="36">
      <c r="A154" s="276" t="s">
        <v>700</v>
      </c>
      <c r="B154" s="41" t="s">
        <v>701</v>
      </c>
      <c r="C154" s="84" t="s">
        <v>601</v>
      </c>
      <c r="D154" s="42" t="s">
        <v>638</v>
      </c>
      <c r="E154" s="43">
        <f aca="true" t="shared" si="21" ref="E154:E183">F154</f>
        <v>203400</v>
      </c>
      <c r="F154" s="43">
        <v>203400</v>
      </c>
      <c r="G154" s="43"/>
      <c r="H154" s="43"/>
      <c r="I154" s="38"/>
      <c r="J154" s="43"/>
      <c r="K154" s="43"/>
      <c r="L154" s="38"/>
      <c r="M154" s="38"/>
      <c r="N154" s="38"/>
      <c r="O154" s="38"/>
      <c r="P154" s="275">
        <f t="shared" si="20"/>
        <v>203400</v>
      </c>
    </row>
    <row r="155" spans="1:16" s="40" customFormat="1" ht="54">
      <c r="A155" s="276" t="s">
        <v>702</v>
      </c>
      <c r="B155" s="41" t="s">
        <v>634</v>
      </c>
      <c r="C155" s="84" t="s">
        <v>601</v>
      </c>
      <c r="D155" s="42" t="s">
        <v>641</v>
      </c>
      <c r="E155" s="43">
        <f t="shared" si="21"/>
        <v>2000000</v>
      </c>
      <c r="F155" s="43">
        <v>2000000</v>
      </c>
      <c r="G155" s="43"/>
      <c r="H155" s="43"/>
      <c r="I155" s="38"/>
      <c r="J155" s="43"/>
      <c r="K155" s="43"/>
      <c r="L155" s="38"/>
      <c r="M155" s="38"/>
      <c r="N155" s="38"/>
      <c r="O155" s="38"/>
      <c r="P155" s="275">
        <f t="shared" si="20"/>
        <v>2000000</v>
      </c>
    </row>
    <row r="156" spans="1:16" s="40" customFormat="1" ht="54">
      <c r="A156" s="282" t="s">
        <v>703</v>
      </c>
      <c r="B156" s="72" t="s">
        <v>640</v>
      </c>
      <c r="C156" s="72" t="s">
        <v>601</v>
      </c>
      <c r="D156" s="285" t="s">
        <v>644</v>
      </c>
      <c r="E156" s="43">
        <f t="shared" si="21"/>
        <v>136100</v>
      </c>
      <c r="F156" s="73">
        <v>136100</v>
      </c>
      <c r="G156" s="73"/>
      <c r="H156" s="73"/>
      <c r="I156" s="85"/>
      <c r="J156" s="73"/>
      <c r="K156" s="73"/>
      <c r="L156" s="85"/>
      <c r="M156" s="85"/>
      <c r="N156" s="85"/>
      <c r="O156" s="85"/>
      <c r="P156" s="275">
        <f t="shared" si="20"/>
        <v>136100</v>
      </c>
    </row>
    <row r="157" spans="1:16" s="40" customFormat="1" ht="54" hidden="1">
      <c r="A157" s="282" t="s">
        <v>704</v>
      </c>
      <c r="B157" s="72" t="s">
        <v>646</v>
      </c>
      <c r="C157" s="72"/>
      <c r="D157" s="44" t="s">
        <v>705</v>
      </c>
      <c r="E157" s="43">
        <f t="shared" si="21"/>
        <v>0</v>
      </c>
      <c r="F157" s="73"/>
      <c r="G157" s="73"/>
      <c r="H157" s="73"/>
      <c r="I157" s="85"/>
      <c r="J157" s="73"/>
      <c r="K157" s="73"/>
      <c r="L157" s="85"/>
      <c r="M157" s="85"/>
      <c r="N157" s="85"/>
      <c r="O157" s="85"/>
      <c r="P157" s="275">
        <f t="shared" si="20"/>
        <v>0</v>
      </c>
    </row>
    <row r="158" spans="1:16" s="40" customFormat="1" ht="36" hidden="1">
      <c r="A158" s="282" t="s">
        <v>706</v>
      </c>
      <c r="B158" s="72" t="s">
        <v>649</v>
      </c>
      <c r="C158" s="72" t="s">
        <v>422</v>
      </c>
      <c r="D158" s="44" t="s">
        <v>650</v>
      </c>
      <c r="E158" s="43">
        <f t="shared" si="21"/>
        <v>0</v>
      </c>
      <c r="F158" s="73"/>
      <c r="G158" s="73"/>
      <c r="H158" s="73"/>
      <c r="I158" s="85"/>
      <c r="J158" s="73"/>
      <c r="K158" s="73"/>
      <c r="L158" s="85"/>
      <c r="M158" s="85"/>
      <c r="N158" s="85"/>
      <c r="O158" s="85"/>
      <c r="P158" s="275">
        <f t="shared" si="20"/>
        <v>0</v>
      </c>
    </row>
    <row r="159" spans="1:16" s="40" customFormat="1" ht="24.75" customHeight="1" hidden="1">
      <c r="A159" s="282" t="s">
        <v>707</v>
      </c>
      <c r="B159" s="72" t="s">
        <v>652</v>
      </c>
      <c r="C159" s="72" t="s">
        <v>422</v>
      </c>
      <c r="D159" s="44" t="s">
        <v>668</v>
      </c>
      <c r="E159" s="43">
        <f t="shared" si="21"/>
        <v>0</v>
      </c>
      <c r="F159" s="73"/>
      <c r="G159" s="73"/>
      <c r="H159" s="73"/>
      <c r="I159" s="85"/>
      <c r="J159" s="73"/>
      <c r="K159" s="73"/>
      <c r="L159" s="85"/>
      <c r="M159" s="85"/>
      <c r="N159" s="85"/>
      <c r="O159" s="85"/>
      <c r="P159" s="275">
        <f t="shared" si="20"/>
        <v>0</v>
      </c>
    </row>
    <row r="160" spans="1:16" s="40" customFormat="1" ht="28.5" customHeight="1" hidden="1">
      <c r="A160" s="282" t="s">
        <v>708</v>
      </c>
      <c r="B160" s="72" t="s">
        <v>655</v>
      </c>
      <c r="C160" s="72" t="s">
        <v>422</v>
      </c>
      <c r="D160" s="44" t="s">
        <v>656</v>
      </c>
      <c r="E160" s="43">
        <f t="shared" si="21"/>
        <v>0</v>
      </c>
      <c r="F160" s="73"/>
      <c r="G160" s="73"/>
      <c r="H160" s="73"/>
      <c r="I160" s="85"/>
      <c r="J160" s="73"/>
      <c r="K160" s="73"/>
      <c r="L160" s="85"/>
      <c r="M160" s="85"/>
      <c r="N160" s="85"/>
      <c r="O160" s="85"/>
      <c r="P160" s="275">
        <f t="shared" si="20"/>
        <v>0</v>
      </c>
    </row>
    <row r="161" spans="1:16" s="40" customFormat="1" ht="39" customHeight="1" hidden="1">
      <c r="A161" s="282" t="s">
        <v>709</v>
      </c>
      <c r="B161" s="72" t="s">
        <v>658</v>
      </c>
      <c r="C161" s="72" t="s">
        <v>422</v>
      </c>
      <c r="D161" s="44" t="s">
        <v>659</v>
      </c>
      <c r="E161" s="43">
        <f t="shared" si="21"/>
        <v>0</v>
      </c>
      <c r="F161" s="73"/>
      <c r="G161" s="73"/>
      <c r="H161" s="73"/>
      <c r="I161" s="85"/>
      <c r="J161" s="73"/>
      <c r="K161" s="73"/>
      <c r="L161" s="85"/>
      <c r="M161" s="85"/>
      <c r="N161" s="85"/>
      <c r="O161" s="85"/>
      <c r="P161" s="275">
        <f t="shared" si="20"/>
        <v>0</v>
      </c>
    </row>
    <row r="162" spans="1:16" s="40" customFormat="1" ht="18" hidden="1">
      <c r="A162" s="282" t="s">
        <v>710</v>
      </c>
      <c r="B162" s="72" t="s">
        <v>661</v>
      </c>
      <c r="C162" s="72" t="s">
        <v>422</v>
      </c>
      <c r="D162" s="44" t="s">
        <v>662</v>
      </c>
      <c r="E162" s="43">
        <f t="shared" si="21"/>
        <v>0</v>
      </c>
      <c r="F162" s="73"/>
      <c r="G162" s="73"/>
      <c r="H162" s="73"/>
      <c r="I162" s="85"/>
      <c r="J162" s="73"/>
      <c r="K162" s="73"/>
      <c r="L162" s="85"/>
      <c r="M162" s="85"/>
      <c r="N162" s="85"/>
      <c r="O162" s="85"/>
      <c r="P162" s="275">
        <f t="shared" si="20"/>
        <v>0</v>
      </c>
    </row>
    <row r="163" spans="1:16" s="40" customFormat="1" ht="36" hidden="1">
      <c r="A163" s="282" t="s">
        <v>711</v>
      </c>
      <c r="B163" s="72" t="s">
        <v>664</v>
      </c>
      <c r="C163" s="72" t="s">
        <v>422</v>
      </c>
      <c r="D163" s="44" t="s">
        <v>665</v>
      </c>
      <c r="E163" s="43">
        <f t="shared" si="21"/>
        <v>0</v>
      </c>
      <c r="F163" s="43"/>
      <c r="G163" s="73"/>
      <c r="H163" s="73"/>
      <c r="I163" s="85"/>
      <c r="J163" s="73"/>
      <c r="K163" s="73"/>
      <c r="L163" s="85"/>
      <c r="M163" s="85"/>
      <c r="N163" s="85"/>
      <c r="O163" s="85"/>
      <c r="P163" s="275">
        <f t="shared" si="20"/>
        <v>0</v>
      </c>
    </row>
    <row r="164" spans="1:16" s="40" customFormat="1" ht="36" hidden="1">
      <c r="A164" s="282" t="s">
        <v>712</v>
      </c>
      <c r="B164" s="72" t="s">
        <v>667</v>
      </c>
      <c r="C164" s="72" t="s">
        <v>422</v>
      </c>
      <c r="D164" s="44" t="s">
        <v>671</v>
      </c>
      <c r="E164" s="43">
        <f t="shared" si="21"/>
        <v>0</v>
      </c>
      <c r="F164" s="73"/>
      <c r="G164" s="73"/>
      <c r="H164" s="73"/>
      <c r="I164" s="85"/>
      <c r="J164" s="73"/>
      <c r="K164" s="73"/>
      <c r="L164" s="85"/>
      <c r="M164" s="85"/>
      <c r="N164" s="85"/>
      <c r="O164" s="85"/>
      <c r="P164" s="275">
        <f t="shared" si="20"/>
        <v>0</v>
      </c>
    </row>
    <row r="165" spans="1:16" s="40" customFormat="1" ht="54" hidden="1">
      <c r="A165" s="276" t="s">
        <v>713</v>
      </c>
      <c r="B165" s="41" t="s">
        <v>676</v>
      </c>
      <c r="C165" s="41" t="s">
        <v>601</v>
      </c>
      <c r="D165" s="44" t="s">
        <v>677</v>
      </c>
      <c r="E165" s="43">
        <f t="shared" si="21"/>
        <v>0</v>
      </c>
      <c r="F165" s="43"/>
      <c r="G165" s="43"/>
      <c r="H165" s="43"/>
      <c r="I165" s="38"/>
      <c r="J165" s="43"/>
      <c r="K165" s="43"/>
      <c r="L165" s="38"/>
      <c r="M165" s="38"/>
      <c r="N165" s="38"/>
      <c r="O165" s="38"/>
      <c r="P165" s="275">
        <f t="shared" si="20"/>
        <v>0</v>
      </c>
    </row>
    <row r="166" spans="1:16" s="40" customFormat="1" ht="174.75" hidden="1">
      <c r="A166" s="282" t="s">
        <v>714</v>
      </c>
      <c r="B166" s="72" t="s">
        <v>679</v>
      </c>
      <c r="C166" s="72"/>
      <c r="D166" s="286" t="s">
        <v>715</v>
      </c>
      <c r="E166" s="43">
        <f t="shared" si="21"/>
        <v>0</v>
      </c>
      <c r="F166" s="73"/>
      <c r="G166" s="73"/>
      <c r="H166" s="73"/>
      <c r="I166" s="73"/>
      <c r="J166" s="73"/>
      <c r="K166" s="73"/>
      <c r="L166" s="73"/>
      <c r="M166" s="73"/>
      <c r="N166" s="73"/>
      <c r="O166" s="73"/>
      <c r="P166" s="275">
        <f t="shared" si="20"/>
        <v>0</v>
      </c>
    </row>
    <row r="167" spans="1:16" s="40" customFormat="1" ht="54" hidden="1">
      <c r="A167" s="282" t="s">
        <v>716</v>
      </c>
      <c r="B167" s="72" t="s">
        <v>717</v>
      </c>
      <c r="C167" s="72" t="s">
        <v>535</v>
      </c>
      <c r="D167" s="44" t="s">
        <v>718</v>
      </c>
      <c r="E167" s="43">
        <f t="shared" si="21"/>
        <v>0</v>
      </c>
      <c r="F167" s="73"/>
      <c r="G167" s="73"/>
      <c r="H167" s="73"/>
      <c r="I167" s="85"/>
      <c r="J167" s="73"/>
      <c r="K167" s="73"/>
      <c r="L167" s="85"/>
      <c r="M167" s="85"/>
      <c r="N167" s="85"/>
      <c r="O167" s="85"/>
      <c r="P167" s="275">
        <f t="shared" si="20"/>
        <v>0</v>
      </c>
    </row>
    <row r="168" spans="1:16" s="40" customFormat="1" ht="54" hidden="1">
      <c r="A168" s="276" t="s">
        <v>719</v>
      </c>
      <c r="B168" s="41" t="s">
        <v>720</v>
      </c>
      <c r="C168" s="41" t="s">
        <v>535</v>
      </c>
      <c r="D168" s="44" t="s">
        <v>721</v>
      </c>
      <c r="E168" s="43">
        <f t="shared" si="21"/>
        <v>0</v>
      </c>
      <c r="F168" s="43"/>
      <c r="G168" s="43"/>
      <c r="H168" s="43"/>
      <c r="I168" s="38"/>
      <c r="J168" s="43"/>
      <c r="K168" s="43"/>
      <c r="L168" s="38"/>
      <c r="M168" s="38"/>
      <c r="N168" s="38"/>
      <c r="O168" s="38"/>
      <c r="P168" s="275">
        <f t="shared" si="20"/>
        <v>0</v>
      </c>
    </row>
    <row r="169" spans="1:16" s="40" customFormat="1" ht="46.5" customHeight="1" hidden="1">
      <c r="A169" s="276" t="s">
        <v>722</v>
      </c>
      <c r="B169" s="41" t="s">
        <v>682</v>
      </c>
      <c r="C169" s="41" t="s">
        <v>429</v>
      </c>
      <c r="D169" s="44" t="s">
        <v>723</v>
      </c>
      <c r="E169" s="43">
        <f t="shared" si="21"/>
        <v>0</v>
      </c>
      <c r="F169" s="43"/>
      <c r="G169" s="43"/>
      <c r="H169" s="43"/>
      <c r="I169" s="43"/>
      <c r="J169" s="43"/>
      <c r="K169" s="43"/>
      <c r="L169" s="38"/>
      <c r="M169" s="43"/>
      <c r="N169" s="38"/>
      <c r="O169" s="38"/>
      <c r="P169" s="275">
        <f t="shared" si="20"/>
        <v>0</v>
      </c>
    </row>
    <row r="170" spans="1:16" s="40" customFormat="1" ht="36.75" customHeight="1">
      <c r="A170" s="282" t="s">
        <v>706</v>
      </c>
      <c r="B170" s="72" t="s">
        <v>649</v>
      </c>
      <c r="C170" s="72" t="s">
        <v>422</v>
      </c>
      <c r="D170" s="86" t="s">
        <v>650</v>
      </c>
      <c r="E170" s="43">
        <f t="shared" si="21"/>
        <v>1015050</v>
      </c>
      <c r="F170" s="43">
        <v>1015050</v>
      </c>
      <c r="G170" s="43"/>
      <c r="H170" s="43"/>
      <c r="I170" s="43"/>
      <c r="J170" s="43"/>
      <c r="K170" s="43"/>
      <c r="L170" s="38"/>
      <c r="M170" s="43"/>
      <c r="N170" s="38"/>
      <c r="O170" s="38"/>
      <c r="P170" s="275">
        <f t="shared" si="20"/>
        <v>1015050</v>
      </c>
    </row>
    <row r="171" spans="1:16" s="40" customFormat="1" ht="42.75" customHeight="1">
      <c r="A171" s="282" t="s">
        <v>707</v>
      </c>
      <c r="B171" s="72" t="s">
        <v>652</v>
      </c>
      <c r="C171" s="72" t="s">
        <v>422</v>
      </c>
      <c r="D171" s="86" t="s">
        <v>668</v>
      </c>
      <c r="E171" s="43">
        <f t="shared" si="21"/>
        <v>137256</v>
      </c>
      <c r="F171" s="43">
        <v>137256</v>
      </c>
      <c r="G171" s="43"/>
      <c r="H171" s="43"/>
      <c r="I171" s="43"/>
      <c r="J171" s="43"/>
      <c r="K171" s="43"/>
      <c r="L171" s="38"/>
      <c r="M171" s="43"/>
      <c r="N171" s="38"/>
      <c r="O171" s="38"/>
      <c r="P171" s="275">
        <f t="shared" si="20"/>
        <v>137256</v>
      </c>
    </row>
    <row r="172" spans="1:16" s="40" customFormat="1" ht="18">
      <c r="A172" s="282" t="s">
        <v>708</v>
      </c>
      <c r="B172" s="72" t="s">
        <v>655</v>
      </c>
      <c r="C172" s="72" t="s">
        <v>422</v>
      </c>
      <c r="D172" s="86" t="s">
        <v>656</v>
      </c>
      <c r="E172" s="43">
        <f t="shared" si="21"/>
        <v>33620778</v>
      </c>
      <c r="F172" s="43">
        <v>33620778</v>
      </c>
      <c r="G172" s="43"/>
      <c r="H172" s="43"/>
      <c r="I172" s="43"/>
      <c r="J172" s="43"/>
      <c r="K172" s="43"/>
      <c r="L172" s="38"/>
      <c r="M172" s="43"/>
      <c r="N172" s="38"/>
      <c r="O172" s="38"/>
      <c r="P172" s="275">
        <f t="shared" si="20"/>
        <v>33620778</v>
      </c>
    </row>
    <row r="173" spans="1:16" s="40" customFormat="1" ht="35.25" customHeight="1">
      <c r="A173" s="282" t="s">
        <v>709</v>
      </c>
      <c r="B173" s="72" t="s">
        <v>658</v>
      </c>
      <c r="C173" s="72" t="s">
        <v>422</v>
      </c>
      <c r="D173" s="86" t="s">
        <v>659</v>
      </c>
      <c r="E173" s="43">
        <f t="shared" si="21"/>
        <v>6307227</v>
      </c>
      <c r="F173" s="43">
        <v>6307227</v>
      </c>
      <c r="G173" s="43"/>
      <c r="H173" s="43"/>
      <c r="I173" s="43"/>
      <c r="J173" s="43"/>
      <c r="K173" s="43"/>
      <c r="L173" s="38"/>
      <c r="M173" s="43"/>
      <c r="N173" s="38"/>
      <c r="O173" s="38"/>
      <c r="P173" s="275">
        <f aca="true" t="shared" si="22" ref="P173:P203">E173+J173</f>
        <v>6307227</v>
      </c>
    </row>
    <row r="174" spans="1:16" s="40" customFormat="1" ht="45" customHeight="1">
      <c r="A174" s="282" t="s">
        <v>710</v>
      </c>
      <c r="B174" s="72" t="s">
        <v>661</v>
      </c>
      <c r="C174" s="72" t="s">
        <v>422</v>
      </c>
      <c r="D174" s="86" t="s">
        <v>662</v>
      </c>
      <c r="E174" s="43">
        <f t="shared" si="21"/>
        <v>26884232</v>
      </c>
      <c r="F174" s="43">
        <v>26884232</v>
      </c>
      <c r="G174" s="43"/>
      <c r="H174" s="43"/>
      <c r="I174" s="43"/>
      <c r="J174" s="43"/>
      <c r="K174" s="43"/>
      <c r="L174" s="38"/>
      <c r="M174" s="43"/>
      <c r="N174" s="38"/>
      <c r="O174" s="38"/>
      <c r="P174" s="275">
        <f t="shared" si="22"/>
        <v>26884232</v>
      </c>
    </row>
    <row r="175" spans="1:16" s="40" customFormat="1" ht="42.75" customHeight="1">
      <c r="A175" s="282" t="s">
        <v>711</v>
      </c>
      <c r="B175" s="72" t="s">
        <v>664</v>
      </c>
      <c r="C175" s="72" t="s">
        <v>422</v>
      </c>
      <c r="D175" s="86" t="s">
        <v>665</v>
      </c>
      <c r="E175" s="43">
        <f t="shared" si="21"/>
        <v>650860</v>
      </c>
      <c r="F175" s="43">
        <v>650860</v>
      </c>
      <c r="G175" s="43"/>
      <c r="H175" s="43"/>
      <c r="I175" s="43"/>
      <c r="J175" s="43"/>
      <c r="K175" s="43"/>
      <c r="L175" s="38"/>
      <c r="M175" s="43"/>
      <c r="N175" s="38"/>
      <c r="O175" s="38"/>
      <c r="P175" s="275">
        <f t="shared" si="22"/>
        <v>650860</v>
      </c>
    </row>
    <row r="176" spans="1:16" s="40" customFormat="1" ht="36" customHeight="1">
      <c r="A176" s="282" t="s">
        <v>712</v>
      </c>
      <c r="B176" s="72" t="s">
        <v>667</v>
      </c>
      <c r="C176" s="72" t="s">
        <v>422</v>
      </c>
      <c r="D176" s="86" t="s">
        <v>724</v>
      </c>
      <c r="E176" s="43">
        <f t="shared" si="21"/>
        <v>14261987</v>
      </c>
      <c r="F176" s="43">
        <v>14261987</v>
      </c>
      <c r="G176" s="43"/>
      <c r="H176" s="43"/>
      <c r="I176" s="43"/>
      <c r="J176" s="43"/>
      <c r="K176" s="43"/>
      <c r="L176" s="38"/>
      <c r="M176" s="43"/>
      <c r="N176" s="38"/>
      <c r="O176" s="38"/>
      <c r="P176" s="275">
        <f t="shared" si="22"/>
        <v>14261987</v>
      </c>
    </row>
    <row r="177" spans="1:16" s="40" customFormat="1" ht="53.25" customHeight="1">
      <c r="A177" s="276" t="s">
        <v>713</v>
      </c>
      <c r="B177" s="41" t="s">
        <v>676</v>
      </c>
      <c r="C177" s="41" t="s">
        <v>601</v>
      </c>
      <c r="D177" s="44" t="s">
        <v>677</v>
      </c>
      <c r="E177" s="43">
        <f t="shared" si="21"/>
        <v>73148</v>
      </c>
      <c r="F177" s="43">
        <v>73148</v>
      </c>
      <c r="G177" s="43"/>
      <c r="H177" s="43"/>
      <c r="I177" s="43"/>
      <c r="J177" s="43"/>
      <c r="K177" s="43"/>
      <c r="L177" s="38"/>
      <c r="M177" s="43"/>
      <c r="N177" s="38"/>
      <c r="O177" s="38"/>
      <c r="P177" s="275">
        <f t="shared" si="22"/>
        <v>73148</v>
      </c>
    </row>
    <row r="178" spans="1:16" s="40" customFormat="1" ht="54.75" customHeight="1">
      <c r="A178" s="276" t="s">
        <v>716</v>
      </c>
      <c r="B178" s="41" t="s">
        <v>717</v>
      </c>
      <c r="C178" s="41" t="s">
        <v>535</v>
      </c>
      <c r="D178" s="44" t="s">
        <v>718</v>
      </c>
      <c r="E178" s="43">
        <f t="shared" si="21"/>
        <v>16373803</v>
      </c>
      <c r="F178" s="43">
        <v>16373803</v>
      </c>
      <c r="G178" s="43"/>
      <c r="H178" s="43"/>
      <c r="I178" s="43"/>
      <c r="J178" s="43"/>
      <c r="K178" s="43"/>
      <c r="L178" s="38"/>
      <c r="M178" s="43"/>
      <c r="N178" s="38"/>
      <c r="O178" s="38"/>
      <c r="P178" s="275">
        <f t="shared" si="22"/>
        <v>16373803</v>
      </c>
    </row>
    <row r="179" spans="1:16" s="40" customFormat="1" ht="78" customHeight="1">
      <c r="A179" s="276" t="s">
        <v>725</v>
      </c>
      <c r="B179" s="41" t="s">
        <v>726</v>
      </c>
      <c r="C179" s="41" t="s">
        <v>535</v>
      </c>
      <c r="D179" s="44" t="s">
        <v>727</v>
      </c>
      <c r="E179" s="43">
        <f t="shared" si="21"/>
        <v>3543244</v>
      </c>
      <c r="F179" s="43">
        <v>3543244</v>
      </c>
      <c r="G179" s="43"/>
      <c r="H179" s="43"/>
      <c r="I179" s="43"/>
      <c r="J179" s="43"/>
      <c r="K179" s="43"/>
      <c r="L179" s="38"/>
      <c r="M179" s="43"/>
      <c r="N179" s="38"/>
      <c r="O179" s="38"/>
      <c r="P179" s="275">
        <f t="shared" si="22"/>
        <v>3543244</v>
      </c>
    </row>
    <row r="180" spans="1:16" s="40" customFormat="1" ht="58.5" customHeight="1">
      <c r="A180" s="276" t="s">
        <v>719</v>
      </c>
      <c r="B180" s="41" t="s">
        <v>720</v>
      </c>
      <c r="C180" s="41" t="s">
        <v>535</v>
      </c>
      <c r="D180" s="44" t="s">
        <v>721</v>
      </c>
      <c r="E180" s="43">
        <f t="shared" si="21"/>
        <v>2647159</v>
      </c>
      <c r="F180" s="43">
        <v>2647159</v>
      </c>
      <c r="G180" s="43"/>
      <c r="H180" s="43"/>
      <c r="I180" s="43"/>
      <c r="J180" s="43"/>
      <c r="K180" s="43"/>
      <c r="L180" s="38"/>
      <c r="M180" s="43"/>
      <c r="N180" s="38"/>
      <c r="O180" s="38"/>
      <c r="P180" s="275">
        <f t="shared" si="22"/>
        <v>2647159</v>
      </c>
    </row>
    <row r="181" spans="1:16" s="40" customFormat="1" ht="74.25" customHeight="1">
      <c r="A181" s="276" t="s">
        <v>728</v>
      </c>
      <c r="B181" s="41" t="s">
        <v>729</v>
      </c>
      <c r="C181" s="41" t="s">
        <v>422</v>
      </c>
      <c r="D181" s="44" t="s">
        <v>730</v>
      </c>
      <c r="E181" s="43">
        <f t="shared" si="21"/>
        <v>298650</v>
      </c>
      <c r="F181" s="43">
        <v>298650</v>
      </c>
      <c r="G181" s="43"/>
      <c r="H181" s="43"/>
      <c r="I181" s="43"/>
      <c r="J181" s="43"/>
      <c r="K181" s="43"/>
      <c r="L181" s="38"/>
      <c r="M181" s="43"/>
      <c r="N181" s="38"/>
      <c r="O181" s="38"/>
      <c r="P181" s="275">
        <f t="shared" si="22"/>
        <v>298650</v>
      </c>
    </row>
    <row r="182" spans="1:16" s="40" customFormat="1" ht="92.25" customHeight="1">
      <c r="A182" s="276" t="s">
        <v>731</v>
      </c>
      <c r="B182" s="41" t="s">
        <v>732</v>
      </c>
      <c r="C182" s="41" t="s">
        <v>535</v>
      </c>
      <c r="D182" s="44" t="s">
        <v>733</v>
      </c>
      <c r="E182" s="43">
        <f t="shared" si="21"/>
        <v>30554</v>
      </c>
      <c r="F182" s="43">
        <v>30554</v>
      </c>
      <c r="G182" s="43"/>
      <c r="H182" s="43"/>
      <c r="I182" s="43"/>
      <c r="J182" s="43"/>
      <c r="K182" s="43"/>
      <c r="L182" s="38"/>
      <c r="M182" s="43"/>
      <c r="N182" s="38"/>
      <c r="O182" s="38"/>
      <c r="P182" s="275">
        <f t="shared" si="22"/>
        <v>30554</v>
      </c>
    </row>
    <row r="183" spans="1:16" s="40" customFormat="1" ht="50.25" customHeight="1">
      <c r="A183" s="276" t="s">
        <v>722</v>
      </c>
      <c r="B183" s="41" t="s">
        <v>682</v>
      </c>
      <c r="C183" s="41" t="s">
        <v>429</v>
      </c>
      <c r="D183" s="44" t="s">
        <v>723</v>
      </c>
      <c r="E183" s="43">
        <f t="shared" si="21"/>
        <v>59520</v>
      </c>
      <c r="F183" s="43">
        <v>59520</v>
      </c>
      <c r="G183" s="43"/>
      <c r="H183" s="43"/>
      <c r="I183" s="43"/>
      <c r="J183" s="43"/>
      <c r="K183" s="43"/>
      <c r="L183" s="38"/>
      <c r="M183" s="43"/>
      <c r="N183" s="38"/>
      <c r="O183" s="38"/>
      <c r="P183" s="275">
        <f t="shared" si="22"/>
        <v>59520</v>
      </c>
    </row>
    <row r="184" spans="1:16" s="40" customFormat="1" ht="96" customHeight="1" hidden="1">
      <c r="A184" s="276" t="s">
        <v>734</v>
      </c>
      <c r="B184" s="41" t="s">
        <v>735</v>
      </c>
      <c r="C184" s="41"/>
      <c r="D184" s="44" t="s">
        <v>736</v>
      </c>
      <c r="E184" s="43">
        <f>E185+E186+E187+E190+E191+E192</f>
        <v>6976473</v>
      </c>
      <c r="F184" s="43">
        <f aca="true" t="shared" si="23" ref="F184:O184">F185+F186+F187+F190+F191+F192</f>
        <v>6976473</v>
      </c>
      <c r="G184" s="43">
        <f t="shared" si="23"/>
        <v>5191711</v>
      </c>
      <c r="H184" s="43">
        <f t="shared" si="23"/>
        <v>431737</v>
      </c>
      <c r="I184" s="43">
        <f t="shared" si="23"/>
        <v>0</v>
      </c>
      <c r="J184" s="43">
        <f t="shared" si="23"/>
        <v>44590</v>
      </c>
      <c r="K184" s="43">
        <f t="shared" si="23"/>
        <v>0</v>
      </c>
      <c r="L184" s="43">
        <f t="shared" si="23"/>
        <v>44590</v>
      </c>
      <c r="M184" s="43">
        <f t="shared" si="23"/>
        <v>0</v>
      </c>
      <c r="N184" s="43">
        <f t="shared" si="23"/>
        <v>5948</v>
      </c>
      <c r="O184" s="43">
        <f t="shared" si="23"/>
        <v>0</v>
      </c>
      <c r="P184" s="275">
        <f t="shared" si="22"/>
        <v>7021063</v>
      </c>
    </row>
    <row r="185" spans="1:16" s="40" customFormat="1" ht="78.75" customHeight="1">
      <c r="A185" s="276" t="s">
        <v>737</v>
      </c>
      <c r="B185" s="41" t="s">
        <v>738</v>
      </c>
      <c r="C185" s="41" t="s">
        <v>539</v>
      </c>
      <c r="D185" s="44" t="s">
        <v>739</v>
      </c>
      <c r="E185" s="43">
        <f>F185</f>
        <v>3540434</v>
      </c>
      <c r="F185" s="43">
        <v>3540434</v>
      </c>
      <c r="G185" s="43">
        <f>3402437</f>
        <v>3402437</v>
      </c>
      <c r="H185" s="43">
        <f>136922+342</f>
        <v>137264</v>
      </c>
      <c r="I185" s="38"/>
      <c r="J185" s="43">
        <f>K185+L185</f>
        <v>44590</v>
      </c>
      <c r="K185" s="43"/>
      <c r="L185" s="43">
        <v>44590</v>
      </c>
      <c r="M185" s="43"/>
      <c r="N185" s="43">
        <v>5948</v>
      </c>
      <c r="O185" s="43"/>
      <c r="P185" s="275">
        <f t="shared" si="22"/>
        <v>3585024</v>
      </c>
    </row>
    <row r="186" spans="1:16" s="40" customFormat="1" ht="36">
      <c r="A186" s="276" t="s">
        <v>740</v>
      </c>
      <c r="B186" s="41" t="s">
        <v>741</v>
      </c>
      <c r="C186" s="41" t="s">
        <v>535</v>
      </c>
      <c r="D186" s="44" t="s">
        <v>742</v>
      </c>
      <c r="E186" s="43">
        <f>F186</f>
        <v>1658031</v>
      </c>
      <c r="F186" s="43">
        <v>1658031</v>
      </c>
      <c r="G186" s="43">
        <v>1278810</v>
      </c>
      <c r="H186" s="43">
        <f>259491+554</f>
        <v>260045</v>
      </c>
      <c r="I186" s="38"/>
      <c r="J186" s="38"/>
      <c r="K186" s="38"/>
      <c r="L186" s="38"/>
      <c r="M186" s="38"/>
      <c r="N186" s="38"/>
      <c r="O186" s="38"/>
      <c r="P186" s="275">
        <f t="shared" si="22"/>
        <v>1658031</v>
      </c>
    </row>
    <row r="187" spans="1:16" s="50" customFormat="1" ht="34.5" hidden="1">
      <c r="A187" s="274" t="s">
        <v>743</v>
      </c>
      <c r="B187" s="36" t="s">
        <v>744</v>
      </c>
      <c r="C187" s="36"/>
      <c r="D187" s="37" t="s">
        <v>745</v>
      </c>
      <c r="E187" s="38">
        <f>E188+E189</f>
        <v>558450</v>
      </c>
      <c r="F187" s="38">
        <f aca="true" t="shared" si="24" ref="F187:O187">F188+F189</f>
        <v>558450</v>
      </c>
      <c r="G187" s="38">
        <f t="shared" si="24"/>
        <v>510464</v>
      </c>
      <c r="H187" s="38">
        <f t="shared" si="24"/>
        <v>34428</v>
      </c>
      <c r="I187" s="38">
        <f t="shared" si="24"/>
        <v>0</v>
      </c>
      <c r="J187" s="38">
        <f t="shared" si="24"/>
        <v>0</v>
      </c>
      <c r="K187" s="38">
        <f t="shared" si="24"/>
        <v>0</v>
      </c>
      <c r="L187" s="38">
        <f t="shared" si="24"/>
        <v>0</v>
      </c>
      <c r="M187" s="38">
        <f t="shared" si="24"/>
        <v>0</v>
      </c>
      <c r="N187" s="38">
        <f t="shared" si="24"/>
        <v>0</v>
      </c>
      <c r="O187" s="38">
        <f t="shared" si="24"/>
        <v>0</v>
      </c>
      <c r="P187" s="275">
        <f t="shared" si="22"/>
        <v>558450</v>
      </c>
    </row>
    <row r="188" spans="1:16" s="40" customFormat="1" ht="36">
      <c r="A188" s="276" t="s">
        <v>746</v>
      </c>
      <c r="B188" s="41" t="s">
        <v>747</v>
      </c>
      <c r="C188" s="41" t="s">
        <v>422</v>
      </c>
      <c r="D188" s="44" t="s">
        <v>748</v>
      </c>
      <c r="E188" s="43">
        <f>F188</f>
        <v>555450</v>
      </c>
      <c r="F188" s="43">
        <f>555450</f>
        <v>555450</v>
      </c>
      <c r="G188" s="43">
        <v>510464</v>
      </c>
      <c r="H188" s="43">
        <v>34428</v>
      </c>
      <c r="I188" s="43"/>
      <c r="J188" s="43"/>
      <c r="K188" s="43"/>
      <c r="L188" s="43"/>
      <c r="M188" s="43"/>
      <c r="N188" s="43"/>
      <c r="O188" s="43"/>
      <c r="P188" s="275">
        <f t="shared" si="22"/>
        <v>555450</v>
      </c>
    </row>
    <row r="189" spans="1:16" s="40" customFormat="1" ht="27.75" customHeight="1">
      <c r="A189" s="276" t="s">
        <v>749</v>
      </c>
      <c r="B189" s="41" t="s">
        <v>750</v>
      </c>
      <c r="C189" s="41" t="s">
        <v>422</v>
      </c>
      <c r="D189" s="44" t="s">
        <v>751</v>
      </c>
      <c r="E189" s="43">
        <f>F189</f>
        <v>3000</v>
      </c>
      <c r="F189" s="43">
        <v>3000</v>
      </c>
      <c r="G189" s="43"/>
      <c r="H189" s="43"/>
      <c r="I189" s="38"/>
      <c r="J189" s="38"/>
      <c r="K189" s="38"/>
      <c r="L189" s="38"/>
      <c r="M189" s="38"/>
      <c r="N189" s="38"/>
      <c r="O189" s="38"/>
      <c r="P189" s="275">
        <f t="shared" si="22"/>
        <v>3000</v>
      </c>
    </row>
    <row r="190" spans="1:16" s="40" customFormat="1" ht="108">
      <c r="A190" s="277" t="s">
        <v>752</v>
      </c>
      <c r="B190" s="45" t="s">
        <v>753</v>
      </c>
      <c r="C190" s="45" t="s">
        <v>535</v>
      </c>
      <c r="D190" s="67" t="s">
        <v>754</v>
      </c>
      <c r="E190" s="79">
        <f>F190</f>
        <v>384957</v>
      </c>
      <c r="F190" s="79">
        <v>384957</v>
      </c>
      <c r="G190" s="79"/>
      <c r="H190" s="79"/>
      <c r="I190" s="79"/>
      <c r="J190" s="79"/>
      <c r="K190" s="79"/>
      <c r="L190" s="79"/>
      <c r="M190" s="79"/>
      <c r="N190" s="79"/>
      <c r="O190" s="79"/>
      <c r="P190" s="281">
        <f t="shared" si="22"/>
        <v>384957</v>
      </c>
    </row>
    <row r="191" spans="1:16" s="40" customFormat="1" ht="114.75" customHeight="1">
      <c r="A191" s="277" t="s">
        <v>755</v>
      </c>
      <c r="B191" s="45" t="s">
        <v>756</v>
      </c>
      <c r="C191" s="45" t="s">
        <v>586</v>
      </c>
      <c r="D191" s="76" t="s">
        <v>757</v>
      </c>
      <c r="E191" s="79">
        <f>F191</f>
        <v>266000</v>
      </c>
      <c r="F191" s="79">
        <v>266000</v>
      </c>
      <c r="G191" s="79"/>
      <c r="H191" s="79"/>
      <c r="I191" s="65"/>
      <c r="J191" s="79"/>
      <c r="K191" s="79"/>
      <c r="L191" s="65"/>
      <c r="M191" s="65"/>
      <c r="N191" s="65"/>
      <c r="O191" s="65"/>
      <c r="P191" s="281">
        <f t="shared" si="22"/>
        <v>266000</v>
      </c>
    </row>
    <row r="192" spans="1:16" s="40" customFormat="1" ht="44.25" customHeight="1" hidden="1">
      <c r="A192" s="276" t="s">
        <v>758</v>
      </c>
      <c r="B192" s="41" t="s">
        <v>425</v>
      </c>
      <c r="C192" s="52"/>
      <c r="D192" s="42" t="s">
        <v>426</v>
      </c>
      <c r="E192" s="79">
        <f>E193+E194</f>
        <v>568601</v>
      </c>
      <c r="F192" s="79">
        <f aca="true" t="shared" si="25" ref="F192:O192">F193+F194</f>
        <v>568601</v>
      </c>
      <c r="G192" s="79">
        <f t="shared" si="25"/>
        <v>0</v>
      </c>
      <c r="H192" s="79">
        <f t="shared" si="25"/>
        <v>0</v>
      </c>
      <c r="I192" s="79">
        <f t="shared" si="25"/>
        <v>0</v>
      </c>
      <c r="J192" s="79">
        <f t="shared" si="25"/>
        <v>0</v>
      </c>
      <c r="K192" s="79">
        <f t="shared" si="25"/>
        <v>0</v>
      </c>
      <c r="L192" s="79">
        <f t="shared" si="25"/>
        <v>0</v>
      </c>
      <c r="M192" s="79">
        <f t="shared" si="25"/>
        <v>0</v>
      </c>
      <c r="N192" s="79">
        <f t="shared" si="25"/>
        <v>0</v>
      </c>
      <c r="O192" s="79">
        <f t="shared" si="25"/>
        <v>0</v>
      </c>
      <c r="P192" s="281">
        <f t="shared" si="22"/>
        <v>568601</v>
      </c>
    </row>
    <row r="193" spans="1:16" s="40" customFormat="1" ht="36">
      <c r="A193" s="276" t="s">
        <v>759</v>
      </c>
      <c r="B193" s="41" t="s">
        <v>428</v>
      </c>
      <c r="C193" s="41" t="s">
        <v>429</v>
      </c>
      <c r="D193" s="44" t="s">
        <v>430</v>
      </c>
      <c r="E193" s="79">
        <f>F193</f>
        <v>268601</v>
      </c>
      <c r="F193" s="43">
        <f>235601+33000</f>
        <v>268601</v>
      </c>
      <c r="G193" s="43"/>
      <c r="H193" s="43"/>
      <c r="I193" s="38"/>
      <c r="J193" s="43"/>
      <c r="K193" s="43"/>
      <c r="L193" s="38"/>
      <c r="M193" s="38"/>
      <c r="N193" s="38"/>
      <c r="O193" s="38"/>
      <c r="P193" s="281">
        <f t="shared" si="22"/>
        <v>268601</v>
      </c>
    </row>
    <row r="194" spans="1:16" s="40" customFormat="1" ht="54">
      <c r="A194" s="276" t="s">
        <v>0</v>
      </c>
      <c r="B194" s="41" t="s">
        <v>1</v>
      </c>
      <c r="C194" s="41" t="s">
        <v>429</v>
      </c>
      <c r="D194" s="44" t="s">
        <v>2</v>
      </c>
      <c r="E194" s="79">
        <f>F194</f>
        <v>300000</v>
      </c>
      <c r="F194" s="43">
        <f>300000</f>
        <v>300000</v>
      </c>
      <c r="G194" s="43"/>
      <c r="H194" s="43"/>
      <c r="I194" s="38"/>
      <c r="J194" s="43"/>
      <c r="K194" s="43"/>
      <c r="L194" s="38"/>
      <c r="M194" s="38"/>
      <c r="N194" s="38"/>
      <c r="O194" s="38"/>
      <c r="P194" s="281">
        <f t="shared" si="22"/>
        <v>300000</v>
      </c>
    </row>
    <row r="195" spans="1:16" s="40" customFormat="1" ht="258" customHeight="1" hidden="1">
      <c r="A195" s="282" t="s">
        <v>3</v>
      </c>
      <c r="B195" s="72" t="s">
        <v>4</v>
      </c>
      <c r="C195" s="72" t="s">
        <v>422</v>
      </c>
      <c r="D195" s="87" t="s">
        <v>5</v>
      </c>
      <c r="E195" s="79">
        <f>F195</f>
        <v>0</v>
      </c>
      <c r="F195" s="73"/>
      <c r="G195" s="73"/>
      <c r="H195" s="73"/>
      <c r="I195" s="85"/>
      <c r="J195" s="73"/>
      <c r="K195" s="73"/>
      <c r="L195" s="85"/>
      <c r="M195" s="85"/>
      <c r="N195" s="85"/>
      <c r="O195" s="85"/>
      <c r="P195" s="281">
        <f t="shared" si="22"/>
        <v>0</v>
      </c>
    </row>
    <row r="196" spans="1:16" s="40" customFormat="1" ht="18" hidden="1">
      <c r="A196" s="276" t="s">
        <v>6</v>
      </c>
      <c r="B196" s="41" t="s">
        <v>432</v>
      </c>
      <c r="C196" s="41"/>
      <c r="D196" s="82" t="s">
        <v>433</v>
      </c>
      <c r="E196" s="79">
        <f>E199</f>
        <v>791701</v>
      </c>
      <c r="F196" s="79">
        <f aca="true" t="shared" si="26" ref="F196:O196">F199</f>
        <v>791701</v>
      </c>
      <c r="G196" s="79">
        <f t="shared" si="26"/>
        <v>0</v>
      </c>
      <c r="H196" s="79">
        <f t="shared" si="26"/>
        <v>0</v>
      </c>
      <c r="I196" s="79">
        <f t="shared" si="26"/>
        <v>0</v>
      </c>
      <c r="J196" s="79">
        <f t="shared" si="26"/>
        <v>0</v>
      </c>
      <c r="K196" s="79">
        <f t="shared" si="26"/>
        <v>0</v>
      </c>
      <c r="L196" s="79">
        <f t="shared" si="26"/>
        <v>0</v>
      </c>
      <c r="M196" s="79">
        <f t="shared" si="26"/>
        <v>0</v>
      </c>
      <c r="N196" s="79">
        <f t="shared" si="26"/>
        <v>0</v>
      </c>
      <c r="O196" s="79">
        <f t="shared" si="26"/>
        <v>0</v>
      </c>
      <c r="P196" s="281">
        <f t="shared" si="22"/>
        <v>791701</v>
      </c>
    </row>
    <row r="197" spans="1:16" s="40" customFormat="1" ht="18" hidden="1">
      <c r="A197" s="277"/>
      <c r="B197" s="45"/>
      <c r="C197" s="45"/>
      <c r="D197" s="67"/>
      <c r="E197" s="79">
        <f>F197</f>
        <v>0</v>
      </c>
      <c r="F197" s="79"/>
      <c r="G197" s="79"/>
      <c r="H197" s="79"/>
      <c r="I197" s="65"/>
      <c r="J197" s="65"/>
      <c r="K197" s="65"/>
      <c r="L197" s="65"/>
      <c r="M197" s="65"/>
      <c r="N197" s="65"/>
      <c r="O197" s="65"/>
      <c r="P197" s="281">
        <f t="shared" si="22"/>
        <v>0</v>
      </c>
    </row>
    <row r="198" spans="1:16" s="40" customFormat="1" ht="271.5" customHeight="1">
      <c r="A198" s="283" t="s">
        <v>3</v>
      </c>
      <c r="B198" s="75" t="s">
        <v>4</v>
      </c>
      <c r="C198" s="75" t="s">
        <v>422</v>
      </c>
      <c r="D198" s="88" t="s">
        <v>134</v>
      </c>
      <c r="E198" s="79">
        <f>F198</f>
        <v>518700</v>
      </c>
      <c r="F198" s="77">
        <v>518700</v>
      </c>
      <c r="G198" s="77"/>
      <c r="H198" s="77"/>
      <c r="I198" s="89"/>
      <c r="J198" s="89"/>
      <c r="K198" s="89"/>
      <c r="L198" s="89"/>
      <c r="M198" s="89"/>
      <c r="N198" s="89"/>
      <c r="O198" s="89"/>
      <c r="P198" s="281">
        <f t="shared" si="22"/>
        <v>518700</v>
      </c>
    </row>
    <row r="199" spans="1:16" s="40" customFormat="1" ht="36">
      <c r="A199" s="282" t="s">
        <v>7</v>
      </c>
      <c r="B199" s="72" t="s">
        <v>435</v>
      </c>
      <c r="C199" s="72" t="s">
        <v>436</v>
      </c>
      <c r="D199" s="90" t="s">
        <v>437</v>
      </c>
      <c r="E199" s="73">
        <f>F199</f>
        <v>791701</v>
      </c>
      <c r="F199" s="73">
        <f>781701+10000</f>
        <v>791701</v>
      </c>
      <c r="G199" s="73"/>
      <c r="H199" s="73"/>
      <c r="I199" s="85"/>
      <c r="J199" s="85"/>
      <c r="K199" s="85"/>
      <c r="L199" s="85"/>
      <c r="M199" s="85"/>
      <c r="N199" s="85"/>
      <c r="O199" s="85"/>
      <c r="P199" s="287">
        <f t="shared" si="22"/>
        <v>791701</v>
      </c>
    </row>
    <row r="200" spans="1:16" s="40" customFormat="1" ht="36">
      <c r="A200" s="276" t="s">
        <v>8</v>
      </c>
      <c r="B200" s="41" t="s">
        <v>506</v>
      </c>
      <c r="C200" s="41" t="s">
        <v>482</v>
      </c>
      <c r="D200" s="44" t="s">
        <v>507</v>
      </c>
      <c r="E200" s="43">
        <f>F200</f>
        <v>19210</v>
      </c>
      <c r="F200" s="43">
        <v>19210</v>
      </c>
      <c r="G200" s="43"/>
      <c r="H200" s="43"/>
      <c r="I200" s="38"/>
      <c r="J200" s="38"/>
      <c r="K200" s="38"/>
      <c r="L200" s="38"/>
      <c r="M200" s="38"/>
      <c r="N200" s="38"/>
      <c r="O200" s="38"/>
      <c r="P200" s="275">
        <f t="shared" si="22"/>
        <v>19210</v>
      </c>
    </row>
    <row r="201" spans="1:16" s="40" customFormat="1" ht="18" thickBot="1">
      <c r="A201" s="278" t="s">
        <v>9</v>
      </c>
      <c r="B201" s="59" t="s">
        <v>10</v>
      </c>
      <c r="C201" s="59" t="s">
        <v>515</v>
      </c>
      <c r="D201" s="71" t="s">
        <v>11</v>
      </c>
      <c r="E201" s="61">
        <f>F201</f>
        <v>100000</v>
      </c>
      <c r="F201" s="61">
        <f>100000</f>
        <v>100000</v>
      </c>
      <c r="G201" s="61"/>
      <c r="H201" s="61"/>
      <c r="I201" s="62"/>
      <c r="J201" s="62"/>
      <c r="K201" s="62"/>
      <c r="L201" s="62"/>
      <c r="M201" s="62"/>
      <c r="N201" s="62"/>
      <c r="O201" s="62"/>
      <c r="P201" s="279">
        <f t="shared" si="22"/>
        <v>100000</v>
      </c>
    </row>
    <row r="202" spans="1:16" s="40" customFormat="1" ht="34.5">
      <c r="A202" s="280" t="s">
        <v>12</v>
      </c>
      <c r="B202" s="63"/>
      <c r="C202" s="63"/>
      <c r="D202" s="64" t="s">
        <v>13</v>
      </c>
      <c r="E202" s="65">
        <f>E203</f>
        <v>25281010</v>
      </c>
      <c r="F202" s="65">
        <f aca="true" t="shared" si="27" ref="F202:O202">F203</f>
        <v>25281010</v>
      </c>
      <c r="G202" s="65">
        <f t="shared" si="27"/>
        <v>20607904</v>
      </c>
      <c r="H202" s="65">
        <f t="shared" si="27"/>
        <v>3352761</v>
      </c>
      <c r="I202" s="65"/>
      <c r="J202" s="65">
        <f t="shared" si="27"/>
        <v>2228835</v>
      </c>
      <c r="K202" s="65">
        <f t="shared" si="27"/>
        <v>1339005</v>
      </c>
      <c r="L202" s="65">
        <f t="shared" si="27"/>
        <v>889830</v>
      </c>
      <c r="M202" s="65">
        <f t="shared" si="27"/>
        <v>706780</v>
      </c>
      <c r="N202" s="65">
        <f t="shared" si="27"/>
        <v>9635</v>
      </c>
      <c r="O202" s="65">
        <f t="shared" si="27"/>
        <v>1339005</v>
      </c>
      <c r="P202" s="281">
        <f t="shared" si="22"/>
        <v>27509845</v>
      </c>
    </row>
    <row r="203" spans="1:16" s="40" customFormat="1" ht="34.5">
      <c r="A203" s="280" t="s">
        <v>14</v>
      </c>
      <c r="B203" s="63"/>
      <c r="C203" s="63"/>
      <c r="D203" s="64" t="s">
        <v>13</v>
      </c>
      <c r="E203" s="65">
        <f>E204+E205+E206+E207+E208+E210+E211+E214</f>
        <v>25281010</v>
      </c>
      <c r="F203" s="65">
        <f aca="true" t="shared" si="28" ref="F203:O203">F204+F205+F206+F207+F208+F210+F211+F214</f>
        <v>25281010</v>
      </c>
      <c r="G203" s="65">
        <f t="shared" si="28"/>
        <v>20607904</v>
      </c>
      <c r="H203" s="65">
        <f t="shared" si="28"/>
        <v>3352761</v>
      </c>
      <c r="I203" s="65"/>
      <c r="J203" s="65">
        <f t="shared" si="28"/>
        <v>2228835</v>
      </c>
      <c r="K203" s="65">
        <f t="shared" si="28"/>
        <v>1339005</v>
      </c>
      <c r="L203" s="65">
        <f t="shared" si="28"/>
        <v>889830</v>
      </c>
      <c r="M203" s="65">
        <f t="shared" si="28"/>
        <v>706780</v>
      </c>
      <c r="N203" s="65">
        <f t="shared" si="28"/>
        <v>9635</v>
      </c>
      <c r="O203" s="65">
        <f t="shared" si="28"/>
        <v>1339005</v>
      </c>
      <c r="P203" s="275">
        <f t="shared" si="22"/>
        <v>27509845</v>
      </c>
    </row>
    <row r="204" spans="1:16" s="40" customFormat="1" ht="72.75" customHeight="1">
      <c r="A204" s="276" t="s">
        <v>15</v>
      </c>
      <c r="B204" s="41" t="s">
        <v>532</v>
      </c>
      <c r="C204" s="41" t="s">
        <v>384</v>
      </c>
      <c r="D204" s="44" t="s">
        <v>533</v>
      </c>
      <c r="E204" s="43">
        <f>F204</f>
        <v>723190</v>
      </c>
      <c r="F204" s="43">
        <v>723190</v>
      </c>
      <c r="G204" s="43">
        <v>696904</v>
      </c>
      <c r="H204" s="43">
        <f>18072+96</f>
        <v>18168</v>
      </c>
      <c r="I204" s="38"/>
      <c r="J204" s="38"/>
      <c r="K204" s="38"/>
      <c r="L204" s="38"/>
      <c r="M204" s="38"/>
      <c r="N204" s="38"/>
      <c r="O204" s="38"/>
      <c r="P204" s="275">
        <f>E204+J204</f>
        <v>723190</v>
      </c>
    </row>
    <row r="205" spans="1:16" s="40" customFormat="1" ht="77.25" customHeight="1">
      <c r="A205" s="276" t="s">
        <v>16</v>
      </c>
      <c r="B205" s="41" t="s">
        <v>17</v>
      </c>
      <c r="C205" s="41" t="s">
        <v>546</v>
      </c>
      <c r="D205" s="44" t="s">
        <v>18</v>
      </c>
      <c r="E205" s="43">
        <f>F205</f>
        <v>11828293</v>
      </c>
      <c r="F205" s="43">
        <f>66068+G205+H205-19303</f>
        <v>11828293</v>
      </c>
      <c r="G205" s="43">
        <f>8253542+1815780</f>
        <v>10069322</v>
      </c>
      <c r="H205" s="43">
        <f>1369611+20864+41272+261156+19303</f>
        <v>1712206</v>
      </c>
      <c r="I205" s="38"/>
      <c r="J205" s="43">
        <v>728110</v>
      </c>
      <c r="K205" s="43"/>
      <c r="L205" s="43">
        <f>14859+1258+N205+M205</f>
        <v>728110</v>
      </c>
      <c r="M205" s="43">
        <f>579328+127452</f>
        <v>706780</v>
      </c>
      <c r="N205" s="43">
        <v>5213</v>
      </c>
      <c r="O205" s="43"/>
      <c r="P205" s="275">
        <f aca="true" t="shared" si="29" ref="P205:P216">E205+J205</f>
        <v>12556403</v>
      </c>
    </row>
    <row r="206" spans="1:16" s="40" customFormat="1" ht="18">
      <c r="A206" s="276" t="s">
        <v>19</v>
      </c>
      <c r="B206" s="41" t="s">
        <v>20</v>
      </c>
      <c r="C206" s="41" t="s">
        <v>21</v>
      </c>
      <c r="D206" s="44" t="s">
        <v>22</v>
      </c>
      <c r="E206" s="43">
        <f>F206</f>
        <v>4162503</v>
      </c>
      <c r="F206" s="43">
        <f>130355+G206+H206-3699</f>
        <v>4162503</v>
      </c>
      <c r="G206" s="43">
        <f>3047146+670454</f>
        <v>3717600</v>
      </c>
      <c r="H206" s="43">
        <f>107476+5020+44163+149232+8657+3699</f>
        <v>318247</v>
      </c>
      <c r="I206" s="43"/>
      <c r="J206" s="43">
        <f>O206+L206</f>
        <v>276720</v>
      </c>
      <c r="K206" s="43">
        <f>270000</f>
        <v>270000</v>
      </c>
      <c r="L206" s="43">
        <v>6720</v>
      </c>
      <c r="M206" s="43"/>
      <c r="N206" s="43"/>
      <c r="O206" s="43">
        <f>K206</f>
        <v>270000</v>
      </c>
      <c r="P206" s="275">
        <f t="shared" si="29"/>
        <v>4439223</v>
      </c>
    </row>
    <row r="207" spans="1:16" s="40" customFormat="1" ht="23.25" customHeight="1">
      <c r="A207" s="276" t="s">
        <v>23</v>
      </c>
      <c r="B207" s="41" t="s">
        <v>24</v>
      </c>
      <c r="C207" s="41" t="s">
        <v>21</v>
      </c>
      <c r="D207" s="44" t="s">
        <v>25</v>
      </c>
      <c r="E207" s="43">
        <f>F207</f>
        <v>1059353</v>
      </c>
      <c r="F207" s="43">
        <f>61562+G207+H207-1327</f>
        <v>1059353</v>
      </c>
      <c r="G207" s="43">
        <f>541713+119177</f>
        <v>660890</v>
      </c>
      <c r="H207" s="43">
        <f>316542+2322+5601+12436+1327</f>
        <v>338228</v>
      </c>
      <c r="I207" s="43"/>
      <c r="J207" s="43">
        <f>O207+L207</f>
        <v>489942</v>
      </c>
      <c r="K207" s="43">
        <v>477442</v>
      </c>
      <c r="L207" s="43">
        <v>12500</v>
      </c>
      <c r="M207" s="43"/>
      <c r="N207" s="43"/>
      <c r="O207" s="43">
        <f>K207</f>
        <v>477442</v>
      </c>
      <c r="P207" s="275">
        <f t="shared" si="29"/>
        <v>1549295</v>
      </c>
    </row>
    <row r="208" spans="1:16" s="40" customFormat="1" ht="63.75" customHeight="1">
      <c r="A208" s="276" t="s">
        <v>26</v>
      </c>
      <c r="B208" s="41" t="s">
        <v>27</v>
      </c>
      <c r="C208" s="41" t="s">
        <v>28</v>
      </c>
      <c r="D208" s="42" t="s">
        <v>29</v>
      </c>
      <c r="E208" s="43">
        <f>F208</f>
        <v>5862840</v>
      </c>
      <c r="F208" s="43">
        <f>82111+G208+H208-15494+15444</f>
        <v>5862840</v>
      </c>
      <c r="G208" s="43">
        <f>3968645+873102</f>
        <v>4841747</v>
      </c>
      <c r="H208" s="43">
        <f>706567+9594+78877+72129+56371+15494</f>
        <v>939032</v>
      </c>
      <c r="I208" s="43"/>
      <c r="J208" s="43">
        <f>L208+O208</f>
        <v>734063</v>
      </c>
      <c r="K208" s="43">
        <f>291563+300000</f>
        <v>591563</v>
      </c>
      <c r="L208" s="43">
        <v>142500</v>
      </c>
      <c r="M208" s="43"/>
      <c r="N208" s="43">
        <v>4422</v>
      </c>
      <c r="O208" s="43">
        <f>K208</f>
        <v>591563</v>
      </c>
      <c r="P208" s="275">
        <f t="shared" si="29"/>
        <v>6596903</v>
      </c>
    </row>
    <row r="209" spans="1:16" s="40" customFormat="1" ht="36" hidden="1">
      <c r="A209" s="276" t="s">
        <v>30</v>
      </c>
      <c r="B209" s="41" t="s">
        <v>31</v>
      </c>
      <c r="C209" s="41"/>
      <c r="D209" s="44" t="s">
        <v>32</v>
      </c>
      <c r="E209" s="43">
        <f>E210+E211</f>
        <v>1594831</v>
      </c>
      <c r="F209" s="43">
        <f aca="true" t="shared" si="30" ref="F209:O209">F210+F211</f>
        <v>1594831</v>
      </c>
      <c r="G209" s="43">
        <f t="shared" si="30"/>
        <v>621441</v>
      </c>
      <c r="H209" s="43">
        <f t="shared" si="30"/>
        <v>26880</v>
      </c>
      <c r="I209" s="43">
        <f t="shared" si="30"/>
        <v>0</v>
      </c>
      <c r="J209" s="43">
        <f t="shared" si="30"/>
        <v>0</v>
      </c>
      <c r="K209" s="43">
        <f t="shared" si="30"/>
        <v>0</v>
      </c>
      <c r="L209" s="43">
        <f t="shared" si="30"/>
        <v>0</v>
      </c>
      <c r="M209" s="43">
        <f t="shared" si="30"/>
        <v>0</v>
      </c>
      <c r="N209" s="43">
        <f t="shared" si="30"/>
        <v>0</v>
      </c>
      <c r="O209" s="43">
        <f t="shared" si="30"/>
        <v>0</v>
      </c>
      <c r="P209" s="275">
        <f t="shared" si="29"/>
        <v>1594831</v>
      </c>
    </row>
    <row r="210" spans="1:16" s="40" customFormat="1" ht="36">
      <c r="A210" s="277" t="s">
        <v>33</v>
      </c>
      <c r="B210" s="45" t="s">
        <v>34</v>
      </c>
      <c r="C210" s="41" t="s">
        <v>35</v>
      </c>
      <c r="D210" s="67" t="s">
        <v>36</v>
      </c>
      <c r="E210" s="79">
        <f>F210</f>
        <v>634831</v>
      </c>
      <c r="F210" s="79">
        <f>30320+G210+H210-195</f>
        <v>634831</v>
      </c>
      <c r="G210" s="79">
        <f>469666+108160</f>
        <v>577826</v>
      </c>
      <c r="H210" s="79">
        <f>16280+970+9435+195</f>
        <v>26880</v>
      </c>
      <c r="I210" s="79"/>
      <c r="J210" s="79"/>
      <c r="K210" s="79"/>
      <c r="L210" s="79"/>
      <c r="M210" s="79"/>
      <c r="N210" s="79"/>
      <c r="O210" s="79"/>
      <c r="P210" s="275">
        <f t="shared" si="29"/>
        <v>634831</v>
      </c>
    </row>
    <row r="211" spans="1:16" s="40" customFormat="1" ht="27.75" customHeight="1">
      <c r="A211" s="276" t="s">
        <v>37</v>
      </c>
      <c r="B211" s="41" t="s">
        <v>38</v>
      </c>
      <c r="C211" s="91" t="s">
        <v>35</v>
      </c>
      <c r="D211" s="44" t="s">
        <v>39</v>
      </c>
      <c r="E211" s="43">
        <f>E212+E213</f>
        <v>960000</v>
      </c>
      <c r="F211" s="43">
        <f>F212+F213</f>
        <v>960000</v>
      </c>
      <c r="G211" s="43">
        <f>G212+G213</f>
        <v>43615</v>
      </c>
      <c r="H211" s="43"/>
      <c r="I211" s="43"/>
      <c r="J211" s="43"/>
      <c r="K211" s="43"/>
      <c r="L211" s="43"/>
      <c r="M211" s="43"/>
      <c r="N211" s="43"/>
      <c r="O211" s="43"/>
      <c r="P211" s="275">
        <f t="shared" si="29"/>
        <v>960000</v>
      </c>
    </row>
    <row r="212" spans="1:16" s="40" customFormat="1" ht="57" customHeight="1" hidden="1">
      <c r="A212" s="277"/>
      <c r="B212" s="45"/>
      <c r="C212" s="41"/>
      <c r="D212" s="42" t="s">
        <v>40</v>
      </c>
      <c r="E212" s="79">
        <f>F212</f>
        <v>816431</v>
      </c>
      <c r="F212" s="92">
        <f>616431+50000-50000+200000</f>
        <v>816431</v>
      </c>
      <c r="G212" s="79">
        <v>43615</v>
      </c>
      <c r="H212" s="79"/>
      <c r="I212" s="79"/>
      <c r="J212" s="79"/>
      <c r="K212" s="79"/>
      <c r="L212" s="79"/>
      <c r="M212" s="79"/>
      <c r="N212" s="79"/>
      <c r="O212" s="79"/>
      <c r="P212" s="275">
        <f t="shared" si="29"/>
        <v>816431</v>
      </c>
    </row>
    <row r="213" spans="1:16" s="40" customFormat="1" ht="60" customHeight="1" hidden="1">
      <c r="A213" s="277"/>
      <c r="B213" s="45"/>
      <c r="C213" s="41"/>
      <c r="D213" s="42" t="s">
        <v>41</v>
      </c>
      <c r="E213" s="79">
        <f>F213</f>
        <v>143569</v>
      </c>
      <c r="F213" s="92">
        <v>143569</v>
      </c>
      <c r="G213" s="79"/>
      <c r="H213" s="79"/>
      <c r="I213" s="79"/>
      <c r="J213" s="79"/>
      <c r="K213" s="79"/>
      <c r="L213" s="79"/>
      <c r="M213" s="79"/>
      <c r="N213" s="79"/>
      <c r="O213" s="79"/>
      <c r="P213" s="275">
        <f t="shared" si="29"/>
        <v>143569</v>
      </c>
    </row>
    <row r="214" spans="1:16" s="40" customFormat="1" ht="48.75" customHeight="1" thickBot="1">
      <c r="A214" s="277" t="s">
        <v>42</v>
      </c>
      <c r="B214" s="45" t="s">
        <v>43</v>
      </c>
      <c r="C214" s="59" t="s">
        <v>44</v>
      </c>
      <c r="D214" s="66" t="s">
        <v>45</v>
      </c>
      <c r="E214" s="79">
        <f>F214</f>
        <v>50000</v>
      </c>
      <c r="F214" s="93">
        <v>50000</v>
      </c>
      <c r="G214" s="79"/>
      <c r="H214" s="79"/>
      <c r="I214" s="79"/>
      <c r="J214" s="79"/>
      <c r="K214" s="79"/>
      <c r="L214" s="79"/>
      <c r="M214" s="79"/>
      <c r="N214" s="79"/>
      <c r="O214" s="79"/>
      <c r="P214" s="279">
        <f t="shared" si="29"/>
        <v>50000</v>
      </c>
    </row>
    <row r="215" spans="1:16" s="40" customFormat="1" ht="52.5">
      <c r="A215" s="288" t="s">
        <v>46</v>
      </c>
      <c r="B215" s="94"/>
      <c r="C215" s="95"/>
      <c r="D215" s="96" t="s">
        <v>47</v>
      </c>
      <c r="E215" s="97">
        <f>E216</f>
        <v>8652061</v>
      </c>
      <c r="F215" s="97">
        <f aca="true" t="shared" si="31" ref="F215:O215">F216</f>
        <v>8652061</v>
      </c>
      <c r="G215" s="97">
        <f t="shared" si="31"/>
        <v>2938090</v>
      </c>
      <c r="H215" s="97">
        <f t="shared" si="31"/>
        <v>78064</v>
      </c>
      <c r="I215" s="97"/>
      <c r="J215" s="97">
        <f t="shared" si="31"/>
        <v>145000</v>
      </c>
      <c r="K215" s="97">
        <f t="shared" si="31"/>
        <v>145000</v>
      </c>
      <c r="L215" s="97"/>
      <c r="M215" s="97"/>
      <c r="N215" s="97"/>
      <c r="O215" s="97">
        <f t="shared" si="31"/>
        <v>145000</v>
      </c>
      <c r="P215" s="281">
        <f t="shared" si="29"/>
        <v>8797061</v>
      </c>
    </row>
    <row r="216" spans="1:16" s="40" customFormat="1" ht="52.5">
      <c r="A216" s="274" t="s">
        <v>48</v>
      </c>
      <c r="B216" s="36"/>
      <c r="C216" s="36"/>
      <c r="D216" s="37" t="s">
        <v>47</v>
      </c>
      <c r="E216" s="38">
        <f>E217+E219+E220+E222+E224+E226+E228+E229</f>
        <v>8652061</v>
      </c>
      <c r="F216" s="38">
        <f aca="true" t="shared" si="32" ref="F216:O216">F217+F219+F220+F222+F224+F226+F228+F229</f>
        <v>8652061</v>
      </c>
      <c r="G216" s="38">
        <f t="shared" si="32"/>
        <v>2938090</v>
      </c>
      <c r="H216" s="38">
        <f t="shared" si="32"/>
        <v>78064</v>
      </c>
      <c r="I216" s="38"/>
      <c r="J216" s="38">
        <f t="shared" si="32"/>
        <v>145000</v>
      </c>
      <c r="K216" s="38">
        <f t="shared" si="32"/>
        <v>145000</v>
      </c>
      <c r="L216" s="38"/>
      <c r="M216" s="38"/>
      <c r="N216" s="38"/>
      <c r="O216" s="38">
        <f t="shared" si="32"/>
        <v>145000</v>
      </c>
      <c r="P216" s="275">
        <f t="shared" si="29"/>
        <v>8797061</v>
      </c>
    </row>
    <row r="217" spans="1:16" s="40" customFormat="1" ht="54">
      <c r="A217" s="276" t="s">
        <v>49</v>
      </c>
      <c r="B217" s="41" t="s">
        <v>532</v>
      </c>
      <c r="C217" s="41" t="s">
        <v>384</v>
      </c>
      <c r="D217" s="44" t="s">
        <v>533</v>
      </c>
      <c r="E217" s="43">
        <f>F217</f>
        <v>885201</v>
      </c>
      <c r="F217" s="43">
        <f>885201</f>
        <v>885201</v>
      </c>
      <c r="G217" s="43">
        <v>834125</v>
      </c>
      <c r="H217" s="43">
        <f>25930+72</f>
        <v>26002</v>
      </c>
      <c r="I217" s="43"/>
      <c r="J217" s="43">
        <f>L217+O217</f>
        <v>12000</v>
      </c>
      <c r="K217" s="43">
        <v>12000</v>
      </c>
      <c r="L217" s="43"/>
      <c r="M217" s="43"/>
      <c r="N217" s="43"/>
      <c r="O217" s="43">
        <f>K217</f>
        <v>12000</v>
      </c>
      <c r="P217" s="275">
        <f>E217+J217</f>
        <v>897201</v>
      </c>
    </row>
    <row r="218" spans="1:16" s="40" customFormat="1" ht="41.25" customHeight="1" hidden="1">
      <c r="A218" s="276" t="s">
        <v>50</v>
      </c>
      <c r="B218" s="41" t="s">
        <v>51</v>
      </c>
      <c r="C218" s="41"/>
      <c r="D218" s="55" t="s">
        <v>52</v>
      </c>
      <c r="E218" s="43">
        <f>E219</f>
        <v>70700</v>
      </c>
      <c r="F218" s="43">
        <f>F219</f>
        <v>70700</v>
      </c>
      <c r="G218" s="43"/>
      <c r="H218" s="43"/>
      <c r="I218" s="43"/>
      <c r="J218" s="43"/>
      <c r="K218" s="43"/>
      <c r="L218" s="43"/>
      <c r="M218" s="43"/>
      <c r="N218" s="43"/>
      <c r="O218" s="43"/>
      <c r="P218" s="275">
        <f aca="true" t="shared" si="33" ref="P218:P231">E218+J218</f>
        <v>70700</v>
      </c>
    </row>
    <row r="219" spans="1:16" s="40" customFormat="1" ht="18">
      <c r="A219" s="276" t="s">
        <v>53</v>
      </c>
      <c r="B219" s="41" t="s">
        <v>54</v>
      </c>
      <c r="C219" s="41" t="s">
        <v>422</v>
      </c>
      <c r="D219" s="55" t="s">
        <v>55</v>
      </c>
      <c r="E219" s="43">
        <f>F219</f>
        <v>70700</v>
      </c>
      <c r="F219" s="43">
        <v>70700</v>
      </c>
      <c r="G219" s="43"/>
      <c r="H219" s="43"/>
      <c r="I219" s="43"/>
      <c r="J219" s="43"/>
      <c r="K219" s="43"/>
      <c r="L219" s="43"/>
      <c r="M219" s="43"/>
      <c r="N219" s="43"/>
      <c r="O219" s="43"/>
      <c r="P219" s="275">
        <f t="shared" si="33"/>
        <v>70700</v>
      </c>
    </row>
    <row r="220" spans="1:16" s="40" customFormat="1" ht="90">
      <c r="A220" s="276" t="s">
        <v>56</v>
      </c>
      <c r="B220" s="41" t="s">
        <v>57</v>
      </c>
      <c r="C220" s="41" t="s">
        <v>422</v>
      </c>
      <c r="D220" s="55" t="s">
        <v>58</v>
      </c>
      <c r="E220" s="43">
        <f>F220</f>
        <v>199000</v>
      </c>
      <c r="F220" s="43">
        <v>199000</v>
      </c>
      <c r="G220" s="43"/>
      <c r="H220" s="43"/>
      <c r="I220" s="43"/>
      <c r="J220" s="43"/>
      <c r="K220" s="43"/>
      <c r="L220" s="43"/>
      <c r="M220" s="43"/>
      <c r="N220" s="43"/>
      <c r="O220" s="43"/>
      <c r="P220" s="275">
        <f t="shared" si="33"/>
        <v>199000</v>
      </c>
    </row>
    <row r="221" spans="1:16" s="40" customFormat="1" ht="17.25" hidden="1">
      <c r="A221" s="274" t="s">
        <v>59</v>
      </c>
      <c r="B221" s="36" t="s">
        <v>60</v>
      </c>
      <c r="C221" s="36"/>
      <c r="D221" s="37" t="s">
        <v>61</v>
      </c>
      <c r="E221" s="38">
        <f>E222</f>
        <v>440000</v>
      </c>
      <c r="F221" s="38">
        <f>F222</f>
        <v>440000</v>
      </c>
      <c r="G221" s="38"/>
      <c r="H221" s="38"/>
      <c r="I221" s="38"/>
      <c r="J221" s="38"/>
      <c r="K221" s="38"/>
      <c r="L221" s="38"/>
      <c r="M221" s="38"/>
      <c r="N221" s="38"/>
      <c r="O221" s="38"/>
      <c r="P221" s="275">
        <f t="shared" si="33"/>
        <v>440000</v>
      </c>
    </row>
    <row r="222" spans="1:16" s="40" customFormat="1" ht="36">
      <c r="A222" s="276" t="s">
        <v>62</v>
      </c>
      <c r="B222" s="41" t="s">
        <v>63</v>
      </c>
      <c r="C222" s="41" t="s">
        <v>567</v>
      </c>
      <c r="D222" s="44" t="s">
        <v>64</v>
      </c>
      <c r="E222" s="43">
        <f>F222</f>
        <v>440000</v>
      </c>
      <c r="F222" s="43">
        <v>440000</v>
      </c>
      <c r="G222" s="43"/>
      <c r="H222" s="43"/>
      <c r="I222" s="43"/>
      <c r="J222" s="43"/>
      <c r="K222" s="43"/>
      <c r="L222" s="43"/>
      <c r="M222" s="43"/>
      <c r="N222" s="43"/>
      <c r="O222" s="43"/>
      <c r="P222" s="275">
        <f t="shared" si="33"/>
        <v>440000</v>
      </c>
    </row>
    <row r="223" spans="1:16" s="40" customFormat="1" ht="34.5" hidden="1">
      <c r="A223" s="274" t="s">
        <v>65</v>
      </c>
      <c r="B223" s="36" t="s">
        <v>563</v>
      </c>
      <c r="C223" s="36"/>
      <c r="D223" s="37" t="s">
        <v>564</v>
      </c>
      <c r="E223" s="38">
        <f>E224</f>
        <v>2002144</v>
      </c>
      <c r="F223" s="38">
        <f aca="true" t="shared" si="34" ref="F223:O223">F224</f>
        <v>2002144</v>
      </c>
      <c r="G223" s="38">
        <f t="shared" si="34"/>
        <v>1909414</v>
      </c>
      <c r="H223" s="38">
        <f t="shared" si="34"/>
        <v>47186</v>
      </c>
      <c r="I223" s="38">
        <f t="shared" si="34"/>
        <v>0</v>
      </c>
      <c r="J223" s="38">
        <f t="shared" si="34"/>
        <v>0</v>
      </c>
      <c r="K223" s="38">
        <f t="shared" si="34"/>
        <v>0</v>
      </c>
      <c r="L223" s="38">
        <f t="shared" si="34"/>
        <v>0</v>
      </c>
      <c r="M223" s="38">
        <f t="shared" si="34"/>
        <v>0</v>
      </c>
      <c r="N223" s="38">
        <f t="shared" si="34"/>
        <v>0</v>
      </c>
      <c r="O223" s="38">
        <f t="shared" si="34"/>
        <v>0</v>
      </c>
      <c r="P223" s="275">
        <f t="shared" si="33"/>
        <v>2002144</v>
      </c>
    </row>
    <row r="224" spans="1:16" s="40" customFormat="1" ht="54">
      <c r="A224" s="276" t="s">
        <v>66</v>
      </c>
      <c r="B224" s="41" t="s">
        <v>566</v>
      </c>
      <c r="C224" s="41" t="s">
        <v>567</v>
      </c>
      <c r="D224" s="44" t="s">
        <v>568</v>
      </c>
      <c r="E224" s="43">
        <f>F224</f>
        <v>2002144</v>
      </c>
      <c r="F224" s="43">
        <f>1947237+14907+40000</f>
        <v>2002144</v>
      </c>
      <c r="G224" s="43">
        <f>1894507+14907</f>
        <v>1909414</v>
      </c>
      <c r="H224" s="43">
        <v>47186</v>
      </c>
      <c r="I224" s="43"/>
      <c r="J224" s="43"/>
      <c r="K224" s="43"/>
      <c r="L224" s="43"/>
      <c r="M224" s="43"/>
      <c r="N224" s="43"/>
      <c r="O224" s="43"/>
      <c r="P224" s="275">
        <f t="shared" si="33"/>
        <v>2002144</v>
      </c>
    </row>
    <row r="225" spans="1:16" s="40" customFormat="1" ht="34.5" hidden="1">
      <c r="A225" s="274" t="s">
        <v>67</v>
      </c>
      <c r="B225" s="36" t="s">
        <v>68</v>
      </c>
      <c r="C225" s="36"/>
      <c r="D225" s="37" t="s">
        <v>69</v>
      </c>
      <c r="E225" s="38">
        <f>E226</f>
        <v>3342975</v>
      </c>
      <c r="F225" s="38">
        <f aca="true" t="shared" si="35" ref="F225:O225">F226</f>
        <v>3342975</v>
      </c>
      <c r="G225" s="38">
        <f t="shared" si="35"/>
        <v>0</v>
      </c>
      <c r="H225" s="38">
        <f t="shared" si="35"/>
        <v>0</v>
      </c>
      <c r="I225" s="38">
        <f t="shared" si="35"/>
        <v>0</v>
      </c>
      <c r="J225" s="38">
        <f t="shared" si="35"/>
        <v>133000</v>
      </c>
      <c r="K225" s="38">
        <f t="shared" si="35"/>
        <v>133000</v>
      </c>
      <c r="L225" s="38">
        <f t="shared" si="35"/>
        <v>0</v>
      </c>
      <c r="M225" s="38">
        <f t="shared" si="35"/>
        <v>0</v>
      </c>
      <c r="N225" s="38">
        <f t="shared" si="35"/>
        <v>0</v>
      </c>
      <c r="O225" s="38">
        <f t="shared" si="35"/>
        <v>133000</v>
      </c>
      <c r="P225" s="275">
        <f t="shared" si="33"/>
        <v>3475975</v>
      </c>
    </row>
    <row r="226" spans="1:16" s="40" customFormat="1" ht="36">
      <c r="A226" s="276" t="s">
        <v>70</v>
      </c>
      <c r="B226" s="41" t="s">
        <v>71</v>
      </c>
      <c r="C226" s="41" t="s">
        <v>567</v>
      </c>
      <c r="D226" s="44" t="s">
        <v>72</v>
      </c>
      <c r="E226" s="43">
        <f>F226</f>
        <v>3342975</v>
      </c>
      <c r="F226" s="43">
        <f>3262275+80700</f>
        <v>3342975</v>
      </c>
      <c r="G226" s="43"/>
      <c r="H226" s="43"/>
      <c r="I226" s="43"/>
      <c r="J226" s="43">
        <f>L226+O226</f>
        <v>133000</v>
      </c>
      <c r="K226" s="43">
        <f>18000+115000</f>
        <v>133000</v>
      </c>
      <c r="L226" s="43"/>
      <c r="M226" s="43"/>
      <c r="N226" s="43"/>
      <c r="O226" s="43">
        <f>K226</f>
        <v>133000</v>
      </c>
      <c r="P226" s="275">
        <f t="shared" si="33"/>
        <v>3475975</v>
      </c>
    </row>
    <row r="227" spans="1:16" s="40" customFormat="1" ht="34.5" hidden="1">
      <c r="A227" s="274" t="s">
        <v>73</v>
      </c>
      <c r="B227" s="36" t="s">
        <v>74</v>
      </c>
      <c r="C227" s="36"/>
      <c r="D227" s="98" t="s">
        <v>75</v>
      </c>
      <c r="E227" s="38">
        <f>E228+E229</f>
        <v>1712041</v>
      </c>
      <c r="F227" s="38">
        <f aca="true" t="shared" si="36" ref="F227:O227">F228+F229</f>
        <v>1712041</v>
      </c>
      <c r="G227" s="38">
        <f t="shared" si="36"/>
        <v>194551</v>
      </c>
      <c r="H227" s="38">
        <f t="shared" si="36"/>
        <v>4876</v>
      </c>
      <c r="I227" s="38">
        <f t="shared" si="36"/>
        <v>0</v>
      </c>
      <c r="J227" s="38">
        <f t="shared" si="36"/>
        <v>0</v>
      </c>
      <c r="K227" s="38">
        <f t="shared" si="36"/>
        <v>0</v>
      </c>
      <c r="L227" s="38">
        <f t="shared" si="36"/>
        <v>0</v>
      </c>
      <c r="M227" s="38">
        <f t="shared" si="36"/>
        <v>0</v>
      </c>
      <c r="N227" s="38">
        <f t="shared" si="36"/>
        <v>0</v>
      </c>
      <c r="O227" s="38">
        <f t="shared" si="36"/>
        <v>0</v>
      </c>
      <c r="P227" s="275">
        <f t="shared" si="33"/>
        <v>1712041</v>
      </c>
    </row>
    <row r="228" spans="1:16" s="40" customFormat="1" ht="66" customHeight="1">
      <c r="A228" s="276" t="s">
        <v>76</v>
      </c>
      <c r="B228" s="41" t="s">
        <v>77</v>
      </c>
      <c r="C228" s="41" t="s">
        <v>567</v>
      </c>
      <c r="D228" s="55" t="s">
        <v>78</v>
      </c>
      <c r="E228" s="43">
        <f>F228</f>
        <v>1508653</v>
      </c>
      <c r="F228" s="43">
        <f>1523560-14907</f>
        <v>1508653</v>
      </c>
      <c r="G228" s="43"/>
      <c r="H228" s="99"/>
      <c r="I228" s="99"/>
      <c r="J228" s="99"/>
      <c r="K228" s="99"/>
      <c r="L228" s="99"/>
      <c r="M228" s="99"/>
      <c r="N228" s="99"/>
      <c r="O228" s="99"/>
      <c r="P228" s="275">
        <f t="shared" si="33"/>
        <v>1508653</v>
      </c>
    </row>
    <row r="229" spans="1:16" s="40" customFormat="1" ht="36" thickBot="1">
      <c r="A229" s="278" t="s">
        <v>79</v>
      </c>
      <c r="B229" s="59" t="s">
        <v>80</v>
      </c>
      <c r="C229" s="59" t="s">
        <v>567</v>
      </c>
      <c r="D229" s="60" t="s">
        <v>81</v>
      </c>
      <c r="E229" s="61">
        <f>F229</f>
        <v>203388</v>
      </c>
      <c r="F229" s="61">
        <v>203388</v>
      </c>
      <c r="G229" s="61">
        <v>194551</v>
      </c>
      <c r="H229" s="61">
        <f>4850+26</f>
        <v>4876</v>
      </c>
      <c r="I229" s="61"/>
      <c r="J229" s="61"/>
      <c r="K229" s="61"/>
      <c r="L229" s="61"/>
      <c r="M229" s="61"/>
      <c r="N229" s="61"/>
      <c r="O229" s="61"/>
      <c r="P229" s="279">
        <f t="shared" si="33"/>
        <v>203388</v>
      </c>
    </row>
    <row r="230" spans="1:16" s="40" customFormat="1" ht="34.5">
      <c r="A230" s="280" t="s">
        <v>82</v>
      </c>
      <c r="B230" s="63"/>
      <c r="C230" s="63"/>
      <c r="D230" s="100" t="s">
        <v>83</v>
      </c>
      <c r="E230" s="65">
        <f>E231</f>
        <v>1205675</v>
      </c>
      <c r="F230" s="65">
        <f aca="true" t="shared" si="37" ref="F230:O230">F231</f>
        <v>1205675</v>
      </c>
      <c r="G230" s="65">
        <f t="shared" si="37"/>
        <v>892219</v>
      </c>
      <c r="H230" s="65">
        <f t="shared" si="37"/>
        <v>31237</v>
      </c>
      <c r="I230" s="65"/>
      <c r="J230" s="65">
        <f t="shared" si="37"/>
        <v>139175</v>
      </c>
      <c r="K230" s="65">
        <f t="shared" si="37"/>
        <v>139175</v>
      </c>
      <c r="L230" s="65"/>
      <c r="M230" s="65"/>
      <c r="N230" s="65"/>
      <c r="O230" s="65">
        <f t="shared" si="37"/>
        <v>139175</v>
      </c>
      <c r="P230" s="275">
        <f t="shared" si="33"/>
        <v>1344850</v>
      </c>
    </row>
    <row r="231" spans="1:16" s="40" customFormat="1" ht="34.5">
      <c r="A231" s="280" t="s">
        <v>84</v>
      </c>
      <c r="B231" s="63"/>
      <c r="C231" s="63"/>
      <c r="D231" s="100" t="s">
        <v>83</v>
      </c>
      <c r="E231" s="65">
        <f>E232+E234+E233</f>
        <v>1205675</v>
      </c>
      <c r="F231" s="65">
        <f aca="true" t="shared" si="38" ref="F231:O231">F232+F234+F233</f>
        <v>1205675</v>
      </c>
      <c r="G231" s="65">
        <f t="shared" si="38"/>
        <v>892219</v>
      </c>
      <c r="H231" s="65">
        <f t="shared" si="38"/>
        <v>31237</v>
      </c>
      <c r="I231" s="65"/>
      <c r="J231" s="65">
        <f t="shared" si="38"/>
        <v>139175</v>
      </c>
      <c r="K231" s="65">
        <f t="shared" si="38"/>
        <v>139175</v>
      </c>
      <c r="L231" s="65"/>
      <c r="M231" s="65"/>
      <c r="N231" s="65"/>
      <c r="O231" s="65">
        <f t="shared" si="38"/>
        <v>139175</v>
      </c>
      <c r="P231" s="275">
        <f t="shared" si="33"/>
        <v>1344850</v>
      </c>
    </row>
    <row r="232" spans="1:16" s="40" customFormat="1" ht="54">
      <c r="A232" s="282" t="s">
        <v>85</v>
      </c>
      <c r="B232" s="72" t="s">
        <v>532</v>
      </c>
      <c r="C232" s="72" t="s">
        <v>384</v>
      </c>
      <c r="D232" s="90" t="s">
        <v>533</v>
      </c>
      <c r="E232" s="73">
        <f>F232</f>
        <v>940497</v>
      </c>
      <c r="F232" s="73">
        <v>940497</v>
      </c>
      <c r="G232" s="73">
        <v>892219</v>
      </c>
      <c r="H232" s="73">
        <f>31054+183</f>
        <v>31237</v>
      </c>
      <c r="I232" s="73"/>
      <c r="J232" s="73">
        <f>O232+L232</f>
        <v>27300</v>
      </c>
      <c r="K232" s="73">
        <v>27300</v>
      </c>
      <c r="L232" s="73"/>
      <c r="M232" s="73"/>
      <c r="N232" s="73"/>
      <c r="O232" s="73">
        <f>K232</f>
        <v>27300</v>
      </c>
      <c r="P232" s="275">
        <f>E232+J232</f>
        <v>967797</v>
      </c>
    </row>
    <row r="233" spans="1:16" s="40" customFormat="1" ht="36">
      <c r="A233" s="282" t="s">
        <v>238</v>
      </c>
      <c r="B233" s="72" t="s">
        <v>239</v>
      </c>
      <c r="C233" s="72" t="s">
        <v>476</v>
      </c>
      <c r="D233" s="90" t="s">
        <v>240</v>
      </c>
      <c r="E233" s="73"/>
      <c r="F233" s="73"/>
      <c r="G233" s="73"/>
      <c r="H233" s="73"/>
      <c r="I233" s="73"/>
      <c r="J233" s="73">
        <f>O233+L233</f>
        <v>111875</v>
      </c>
      <c r="K233" s="73">
        <f>111875</f>
        <v>111875</v>
      </c>
      <c r="L233" s="73"/>
      <c r="M233" s="73"/>
      <c r="N233" s="73"/>
      <c r="O233" s="73">
        <f>K233</f>
        <v>111875</v>
      </c>
      <c r="P233" s="275">
        <f>E233+J233</f>
        <v>111875</v>
      </c>
    </row>
    <row r="234" spans="1:16" s="40" customFormat="1" ht="36" thickBot="1">
      <c r="A234" s="278" t="s">
        <v>86</v>
      </c>
      <c r="B234" s="59" t="s">
        <v>506</v>
      </c>
      <c r="C234" s="59" t="s">
        <v>482</v>
      </c>
      <c r="D234" s="71" t="s">
        <v>507</v>
      </c>
      <c r="E234" s="61">
        <f>F234</f>
        <v>265178</v>
      </c>
      <c r="F234" s="61">
        <v>265178</v>
      </c>
      <c r="G234" s="61"/>
      <c r="H234" s="61"/>
      <c r="I234" s="61"/>
      <c r="J234" s="61"/>
      <c r="K234" s="61"/>
      <c r="L234" s="61"/>
      <c r="M234" s="61"/>
      <c r="N234" s="61"/>
      <c r="O234" s="61"/>
      <c r="P234" s="279">
        <f>E234+J234</f>
        <v>265178</v>
      </c>
    </row>
    <row r="235" spans="1:16" s="40" customFormat="1" ht="52.5">
      <c r="A235" s="280" t="s">
        <v>87</v>
      </c>
      <c r="B235" s="63"/>
      <c r="C235" s="63"/>
      <c r="D235" s="64" t="s">
        <v>88</v>
      </c>
      <c r="E235" s="65">
        <f>E236</f>
        <v>1083081</v>
      </c>
      <c r="F235" s="65">
        <f aca="true" t="shared" si="39" ref="F235:O235">F236</f>
        <v>1083081</v>
      </c>
      <c r="G235" s="65">
        <f t="shared" si="39"/>
        <v>984400</v>
      </c>
      <c r="H235" s="65">
        <f t="shared" si="39"/>
        <v>42895</v>
      </c>
      <c r="I235" s="65"/>
      <c r="J235" s="65">
        <f t="shared" si="39"/>
        <v>10000</v>
      </c>
      <c r="K235" s="65">
        <f t="shared" si="39"/>
        <v>10000</v>
      </c>
      <c r="L235" s="65"/>
      <c r="M235" s="65"/>
      <c r="N235" s="65"/>
      <c r="O235" s="65">
        <f t="shared" si="39"/>
        <v>10000</v>
      </c>
      <c r="P235" s="281">
        <f aca="true" t="shared" si="40" ref="P235:P247">E235+J235</f>
        <v>1093081</v>
      </c>
    </row>
    <row r="236" spans="1:16" s="40" customFormat="1" ht="52.5">
      <c r="A236" s="280" t="s">
        <v>89</v>
      </c>
      <c r="B236" s="63"/>
      <c r="C236" s="63"/>
      <c r="D236" s="289" t="s">
        <v>88</v>
      </c>
      <c r="E236" s="65">
        <f>E237+E240</f>
        <v>1083081</v>
      </c>
      <c r="F236" s="65">
        <f aca="true" t="shared" si="41" ref="F236:O236">F237+F240</f>
        <v>1083081</v>
      </c>
      <c r="G236" s="65">
        <f t="shared" si="41"/>
        <v>984400</v>
      </c>
      <c r="H236" s="65">
        <f t="shared" si="41"/>
        <v>42895</v>
      </c>
      <c r="I236" s="65"/>
      <c r="J236" s="65">
        <f t="shared" si="41"/>
        <v>10000</v>
      </c>
      <c r="K236" s="65">
        <f t="shared" si="41"/>
        <v>10000</v>
      </c>
      <c r="L236" s="65"/>
      <c r="M236" s="65"/>
      <c r="N236" s="65"/>
      <c r="O236" s="65">
        <f t="shared" si="41"/>
        <v>10000</v>
      </c>
      <c r="P236" s="275">
        <f t="shared" si="40"/>
        <v>1093081</v>
      </c>
    </row>
    <row r="237" spans="1:16" s="40" customFormat="1" ht="54">
      <c r="A237" s="276" t="s">
        <v>90</v>
      </c>
      <c r="B237" s="41" t="s">
        <v>532</v>
      </c>
      <c r="C237" s="41" t="s">
        <v>384</v>
      </c>
      <c r="D237" s="44" t="s">
        <v>91</v>
      </c>
      <c r="E237" s="43">
        <f>F237</f>
        <v>1070323</v>
      </c>
      <c r="F237" s="43">
        <f>1065283+17798-12758</f>
        <v>1070323</v>
      </c>
      <c r="G237" s="43">
        <v>984400</v>
      </c>
      <c r="H237" s="43">
        <f>42761+134</f>
        <v>42895</v>
      </c>
      <c r="I237" s="43"/>
      <c r="J237" s="43">
        <f>O237+L237</f>
        <v>10000</v>
      </c>
      <c r="K237" s="43">
        <v>10000</v>
      </c>
      <c r="L237" s="43"/>
      <c r="M237" s="43"/>
      <c r="N237" s="43"/>
      <c r="O237" s="43">
        <f>K237</f>
        <v>10000</v>
      </c>
      <c r="P237" s="275">
        <f t="shared" si="40"/>
        <v>1080323</v>
      </c>
    </row>
    <row r="238" spans="1:16" s="40" customFormat="1" ht="18" hidden="1" thickBot="1">
      <c r="A238" s="283"/>
      <c r="B238" s="75"/>
      <c r="C238" s="75"/>
      <c r="D238" s="88"/>
      <c r="E238" s="77"/>
      <c r="F238" s="77"/>
      <c r="G238" s="77"/>
      <c r="H238" s="77"/>
      <c r="I238" s="77"/>
      <c r="J238" s="77"/>
      <c r="K238" s="77"/>
      <c r="L238" s="77"/>
      <c r="M238" s="77"/>
      <c r="N238" s="77"/>
      <c r="O238" s="77"/>
      <c r="P238" s="290">
        <f t="shared" si="40"/>
        <v>0</v>
      </c>
    </row>
    <row r="239" spans="1:16" s="40" customFormat="1" ht="18" hidden="1" thickBot="1">
      <c r="A239" s="283"/>
      <c r="B239" s="75"/>
      <c r="C239" s="75"/>
      <c r="D239" s="88"/>
      <c r="E239" s="77"/>
      <c r="F239" s="77"/>
      <c r="G239" s="77"/>
      <c r="H239" s="77"/>
      <c r="I239" s="77"/>
      <c r="J239" s="77"/>
      <c r="K239" s="77"/>
      <c r="L239" s="77"/>
      <c r="M239" s="77"/>
      <c r="N239" s="77"/>
      <c r="O239" s="77"/>
      <c r="P239" s="279">
        <f t="shared" si="40"/>
        <v>0</v>
      </c>
    </row>
    <row r="240" spans="1:16" s="40" customFormat="1" ht="36" thickBot="1">
      <c r="A240" s="278" t="s">
        <v>329</v>
      </c>
      <c r="B240" s="59" t="s">
        <v>506</v>
      </c>
      <c r="C240" s="59" t="s">
        <v>482</v>
      </c>
      <c r="D240" s="71" t="s">
        <v>507</v>
      </c>
      <c r="E240" s="61">
        <f>F240</f>
        <v>12758</v>
      </c>
      <c r="F240" s="61">
        <v>12758</v>
      </c>
      <c r="G240" s="61"/>
      <c r="H240" s="61"/>
      <c r="I240" s="61"/>
      <c r="J240" s="61"/>
      <c r="K240" s="61"/>
      <c r="L240" s="61"/>
      <c r="M240" s="61"/>
      <c r="N240" s="61"/>
      <c r="O240" s="61"/>
      <c r="P240" s="279">
        <f t="shared" si="40"/>
        <v>12758</v>
      </c>
    </row>
    <row r="241" spans="1:16" s="40" customFormat="1" ht="52.5">
      <c r="A241" s="280" t="s">
        <v>92</v>
      </c>
      <c r="B241" s="63"/>
      <c r="C241" s="63"/>
      <c r="D241" s="100" t="s">
        <v>93</v>
      </c>
      <c r="E241" s="65">
        <f>E242</f>
        <v>2523898</v>
      </c>
      <c r="F241" s="65">
        <f aca="true" t="shared" si="42" ref="F241:O241">F242</f>
        <v>2523898</v>
      </c>
      <c r="G241" s="65">
        <f t="shared" si="42"/>
        <v>2116091</v>
      </c>
      <c r="H241" s="65">
        <f t="shared" si="42"/>
        <v>81195</v>
      </c>
      <c r="I241" s="65"/>
      <c r="J241" s="65">
        <f t="shared" si="42"/>
        <v>210300</v>
      </c>
      <c r="K241" s="65">
        <f t="shared" si="42"/>
        <v>210300</v>
      </c>
      <c r="L241" s="65"/>
      <c r="M241" s="65"/>
      <c r="N241" s="65"/>
      <c r="O241" s="65">
        <f t="shared" si="42"/>
        <v>210300</v>
      </c>
      <c r="P241" s="281">
        <f t="shared" si="40"/>
        <v>2734198</v>
      </c>
    </row>
    <row r="242" spans="1:16" s="40" customFormat="1" ht="52.5">
      <c r="A242" s="280" t="s">
        <v>94</v>
      </c>
      <c r="B242" s="63"/>
      <c r="C242" s="63"/>
      <c r="D242" s="100" t="s">
        <v>93</v>
      </c>
      <c r="E242" s="65">
        <f>E243+E245+E244</f>
        <v>2523898</v>
      </c>
      <c r="F242" s="65">
        <f aca="true" t="shared" si="43" ref="F242:O242">F243+F245+F244</f>
        <v>2523898</v>
      </c>
      <c r="G242" s="65">
        <f t="shared" si="43"/>
        <v>2116091</v>
      </c>
      <c r="H242" s="65">
        <f t="shared" si="43"/>
        <v>81195</v>
      </c>
      <c r="I242" s="65"/>
      <c r="J242" s="65">
        <f t="shared" si="43"/>
        <v>210300</v>
      </c>
      <c r="K242" s="65">
        <f t="shared" si="43"/>
        <v>210300</v>
      </c>
      <c r="L242" s="65"/>
      <c r="M242" s="65"/>
      <c r="N242" s="65"/>
      <c r="O242" s="65">
        <f t="shared" si="43"/>
        <v>210300</v>
      </c>
      <c r="P242" s="275">
        <f t="shared" si="40"/>
        <v>2734198</v>
      </c>
    </row>
    <row r="243" spans="1:16" s="40" customFormat="1" ht="54">
      <c r="A243" s="276" t="s">
        <v>95</v>
      </c>
      <c r="B243" s="41" t="s">
        <v>532</v>
      </c>
      <c r="C243" s="41" t="s">
        <v>384</v>
      </c>
      <c r="D243" s="44" t="s">
        <v>533</v>
      </c>
      <c r="E243" s="43">
        <f>F243</f>
        <v>1961927</v>
      </c>
      <c r="F243" s="43">
        <f>1959817+2110</f>
        <v>1961927</v>
      </c>
      <c r="G243" s="43">
        <v>1850857</v>
      </c>
      <c r="H243" s="43">
        <v>76996</v>
      </c>
      <c r="I243" s="43"/>
      <c r="J243" s="43"/>
      <c r="K243" s="43"/>
      <c r="L243" s="43"/>
      <c r="M243" s="43"/>
      <c r="N243" s="43"/>
      <c r="O243" s="43"/>
      <c r="P243" s="275">
        <f t="shared" si="40"/>
        <v>1961927</v>
      </c>
    </row>
    <row r="244" spans="1:16" s="40" customFormat="1" ht="36">
      <c r="A244" s="282" t="s">
        <v>241</v>
      </c>
      <c r="B244" s="72" t="s">
        <v>506</v>
      </c>
      <c r="C244" s="72" t="s">
        <v>482</v>
      </c>
      <c r="D244" s="90" t="s">
        <v>242</v>
      </c>
      <c r="E244" s="73">
        <f>F244</f>
        <v>372271</v>
      </c>
      <c r="F244" s="73">
        <f>G244+H244+102838</f>
        <v>372271</v>
      </c>
      <c r="G244" s="73">
        <f>237232+28002</f>
        <v>265234</v>
      </c>
      <c r="H244" s="73">
        <f>4199</f>
        <v>4199</v>
      </c>
      <c r="I244" s="73"/>
      <c r="J244" s="73">
        <f>L244+O244</f>
        <v>200000</v>
      </c>
      <c r="K244" s="73">
        <v>200000</v>
      </c>
      <c r="L244" s="73"/>
      <c r="M244" s="73"/>
      <c r="N244" s="73"/>
      <c r="O244" s="73">
        <f>K244</f>
        <v>200000</v>
      </c>
      <c r="P244" s="275">
        <f t="shared" si="40"/>
        <v>572271</v>
      </c>
    </row>
    <row r="245" spans="1:16" s="40" customFormat="1" ht="18" thickBot="1">
      <c r="A245" s="278" t="s">
        <v>96</v>
      </c>
      <c r="B245" s="59" t="s">
        <v>10</v>
      </c>
      <c r="C245" s="59" t="s">
        <v>515</v>
      </c>
      <c r="D245" s="71" t="s">
        <v>11</v>
      </c>
      <c r="E245" s="61">
        <f>F245</f>
        <v>189700</v>
      </c>
      <c r="F245" s="61">
        <f>200000-10300</f>
        <v>189700</v>
      </c>
      <c r="G245" s="61"/>
      <c r="H245" s="61"/>
      <c r="I245" s="61"/>
      <c r="J245" s="61">
        <f>O245+L245</f>
        <v>10300</v>
      </c>
      <c r="K245" s="61">
        <f>10300</f>
        <v>10300</v>
      </c>
      <c r="L245" s="61"/>
      <c r="M245" s="61"/>
      <c r="N245" s="61"/>
      <c r="O245" s="61">
        <f>K245</f>
        <v>10300</v>
      </c>
      <c r="P245" s="279">
        <f t="shared" si="40"/>
        <v>200000</v>
      </c>
    </row>
    <row r="246" spans="1:16" s="40" customFormat="1" ht="81" customHeight="1">
      <c r="A246" s="280" t="s">
        <v>97</v>
      </c>
      <c r="B246" s="45"/>
      <c r="C246" s="45"/>
      <c r="D246" s="64" t="s">
        <v>98</v>
      </c>
      <c r="E246" s="65">
        <f>E247</f>
        <v>2979687</v>
      </c>
      <c r="F246" s="65">
        <f aca="true" t="shared" si="44" ref="F246:O246">F247</f>
        <v>2979687</v>
      </c>
      <c r="G246" s="65">
        <f t="shared" si="44"/>
        <v>1518533</v>
      </c>
      <c r="H246" s="65">
        <f t="shared" si="44"/>
        <v>222201</v>
      </c>
      <c r="I246" s="65"/>
      <c r="J246" s="65">
        <f t="shared" si="44"/>
        <v>1521701</v>
      </c>
      <c r="K246" s="65">
        <f t="shared" si="44"/>
        <v>1480877</v>
      </c>
      <c r="L246" s="65">
        <f t="shared" si="44"/>
        <v>40824</v>
      </c>
      <c r="M246" s="65"/>
      <c r="N246" s="65"/>
      <c r="O246" s="65">
        <f t="shared" si="44"/>
        <v>1480877</v>
      </c>
      <c r="P246" s="281">
        <f t="shared" si="40"/>
        <v>4501388</v>
      </c>
    </row>
    <row r="247" spans="1:16" s="40" customFormat="1" ht="79.5" customHeight="1">
      <c r="A247" s="274" t="s">
        <v>99</v>
      </c>
      <c r="B247" s="41"/>
      <c r="C247" s="41"/>
      <c r="D247" s="64" t="s">
        <v>98</v>
      </c>
      <c r="E247" s="38">
        <f>SUM(E248:E255)</f>
        <v>2979687</v>
      </c>
      <c r="F247" s="38">
        <f aca="true" t="shared" si="45" ref="F247:O247">SUM(F248:F255)</f>
        <v>2979687</v>
      </c>
      <c r="G247" s="38">
        <f t="shared" si="45"/>
        <v>1518533</v>
      </c>
      <c r="H247" s="38">
        <f t="shared" si="45"/>
        <v>222201</v>
      </c>
      <c r="I247" s="38"/>
      <c r="J247" s="38">
        <f t="shared" si="45"/>
        <v>1521701</v>
      </c>
      <c r="K247" s="38">
        <f t="shared" si="45"/>
        <v>1480877</v>
      </c>
      <c r="L247" s="38">
        <f t="shared" si="45"/>
        <v>40824</v>
      </c>
      <c r="M247" s="38"/>
      <c r="N247" s="38"/>
      <c r="O247" s="38">
        <f t="shared" si="45"/>
        <v>1480877</v>
      </c>
      <c r="P247" s="275">
        <f t="shared" si="40"/>
        <v>4501388</v>
      </c>
    </row>
    <row r="248" spans="1:18" s="40" customFormat="1" ht="54">
      <c r="A248" s="276" t="s">
        <v>100</v>
      </c>
      <c r="B248" s="41" t="s">
        <v>532</v>
      </c>
      <c r="C248" s="41" t="s">
        <v>384</v>
      </c>
      <c r="D248" s="44" t="s">
        <v>533</v>
      </c>
      <c r="E248" s="43">
        <f>F248</f>
        <v>1728708</v>
      </c>
      <c r="F248" s="43">
        <f>1728329+379</f>
        <v>1728708</v>
      </c>
      <c r="G248" s="43">
        <v>1518533</v>
      </c>
      <c r="H248" s="43">
        <v>57113</v>
      </c>
      <c r="I248" s="43"/>
      <c r="J248" s="43">
        <f>L248+O248</f>
        <v>40824</v>
      </c>
      <c r="K248" s="43"/>
      <c r="L248" s="43">
        <v>40824</v>
      </c>
      <c r="M248" s="43"/>
      <c r="N248" s="43"/>
      <c r="O248" s="43"/>
      <c r="P248" s="275">
        <f>E248+J248</f>
        <v>1769532</v>
      </c>
      <c r="R248" s="39"/>
    </row>
    <row r="249" spans="1:16" s="40" customFormat="1" ht="36">
      <c r="A249" s="276" t="s">
        <v>101</v>
      </c>
      <c r="B249" s="41" t="s">
        <v>452</v>
      </c>
      <c r="C249" s="41" t="s">
        <v>440</v>
      </c>
      <c r="D249" s="44" t="s">
        <v>453</v>
      </c>
      <c r="E249" s="43">
        <f>F249+I249</f>
        <v>50000</v>
      </c>
      <c r="F249" s="43">
        <v>50000</v>
      </c>
      <c r="G249" s="43"/>
      <c r="H249" s="43"/>
      <c r="I249" s="43"/>
      <c r="J249" s="43"/>
      <c r="K249" s="43"/>
      <c r="L249" s="43"/>
      <c r="M249" s="43"/>
      <c r="N249" s="43"/>
      <c r="O249" s="43"/>
      <c r="P249" s="275">
        <f aca="true" t="shared" si="46" ref="P249:P286">E249+J249</f>
        <v>50000</v>
      </c>
    </row>
    <row r="250" spans="1:16" s="40" customFormat="1" ht="18">
      <c r="A250" s="276" t="s">
        <v>102</v>
      </c>
      <c r="B250" s="41" t="s">
        <v>458</v>
      </c>
      <c r="C250" s="41" t="s">
        <v>440</v>
      </c>
      <c r="D250" s="44" t="s">
        <v>459</v>
      </c>
      <c r="E250" s="43">
        <f>F250+I250</f>
        <v>693429</v>
      </c>
      <c r="F250" s="43">
        <f>689049+4380</f>
        <v>693429</v>
      </c>
      <c r="G250" s="43"/>
      <c r="H250" s="43">
        <v>165088</v>
      </c>
      <c r="I250" s="43"/>
      <c r="J250" s="43">
        <f>L250+O250</f>
        <v>45000</v>
      </c>
      <c r="K250" s="43">
        <v>45000</v>
      </c>
      <c r="L250" s="43"/>
      <c r="M250" s="43"/>
      <c r="N250" s="43"/>
      <c r="O250" s="43">
        <f>K250</f>
        <v>45000</v>
      </c>
      <c r="P250" s="275">
        <f t="shared" si="46"/>
        <v>738429</v>
      </c>
    </row>
    <row r="251" spans="1:16" s="40" customFormat="1" ht="18">
      <c r="A251" s="276" t="s">
        <v>103</v>
      </c>
      <c r="B251" s="41" t="s">
        <v>471</v>
      </c>
      <c r="C251" s="41" t="s">
        <v>472</v>
      </c>
      <c r="D251" s="44" t="s">
        <v>473</v>
      </c>
      <c r="E251" s="43">
        <f>F251</f>
        <v>45000</v>
      </c>
      <c r="F251" s="43">
        <v>45000</v>
      </c>
      <c r="G251" s="43"/>
      <c r="H251" s="43"/>
      <c r="I251" s="43"/>
      <c r="J251" s="43"/>
      <c r="K251" s="43"/>
      <c r="L251" s="43"/>
      <c r="M251" s="43"/>
      <c r="N251" s="43"/>
      <c r="O251" s="43"/>
      <c r="P251" s="275">
        <f t="shared" si="46"/>
        <v>45000</v>
      </c>
    </row>
    <row r="252" spans="1:16" s="40" customFormat="1" ht="36">
      <c r="A252" s="276" t="s">
        <v>104</v>
      </c>
      <c r="B252" s="41" t="s">
        <v>479</v>
      </c>
      <c r="C252" s="41" t="s">
        <v>476</v>
      </c>
      <c r="D252" s="44" t="s">
        <v>136</v>
      </c>
      <c r="E252" s="43"/>
      <c r="F252" s="43"/>
      <c r="G252" s="43"/>
      <c r="H252" s="43"/>
      <c r="I252" s="43"/>
      <c r="J252" s="43">
        <f>L252+O252</f>
        <v>824975</v>
      </c>
      <c r="K252" s="43">
        <v>824975</v>
      </c>
      <c r="L252" s="43"/>
      <c r="M252" s="43"/>
      <c r="N252" s="43"/>
      <c r="O252" s="43">
        <f>K252</f>
        <v>824975</v>
      </c>
      <c r="P252" s="275">
        <f t="shared" si="46"/>
        <v>824975</v>
      </c>
    </row>
    <row r="253" spans="1:16" s="40" customFormat="1" ht="36">
      <c r="A253" s="276" t="s">
        <v>105</v>
      </c>
      <c r="B253" s="41" t="s">
        <v>106</v>
      </c>
      <c r="C253" s="41" t="s">
        <v>476</v>
      </c>
      <c r="D253" s="44" t="s">
        <v>107</v>
      </c>
      <c r="E253" s="43"/>
      <c r="F253" s="43"/>
      <c r="G253" s="43"/>
      <c r="H253" s="43"/>
      <c r="I253" s="43"/>
      <c r="J253" s="43">
        <f>L253+O253</f>
        <v>144600</v>
      </c>
      <c r="K253" s="43">
        <v>144600</v>
      </c>
      <c r="L253" s="43"/>
      <c r="M253" s="43"/>
      <c r="N253" s="43"/>
      <c r="O253" s="43">
        <f>K253</f>
        <v>144600</v>
      </c>
      <c r="P253" s="275">
        <f t="shared" si="46"/>
        <v>144600</v>
      </c>
    </row>
    <row r="254" spans="1:16" s="40" customFormat="1" ht="63.75" customHeight="1">
      <c r="A254" s="276" t="s">
        <v>108</v>
      </c>
      <c r="B254" s="41" t="s">
        <v>489</v>
      </c>
      <c r="C254" s="41" t="s">
        <v>490</v>
      </c>
      <c r="D254" s="44" t="s">
        <v>109</v>
      </c>
      <c r="E254" s="43">
        <f>F254+I254</f>
        <v>462550</v>
      </c>
      <c r="F254" s="43">
        <v>462550</v>
      </c>
      <c r="G254" s="43"/>
      <c r="H254" s="43"/>
      <c r="I254" s="43"/>
      <c r="J254" s="43"/>
      <c r="K254" s="43"/>
      <c r="L254" s="43"/>
      <c r="M254" s="43"/>
      <c r="N254" s="43"/>
      <c r="O254" s="43"/>
      <c r="P254" s="275">
        <f t="shared" si="46"/>
        <v>462550</v>
      </c>
    </row>
    <row r="255" spans="1:16" s="40" customFormat="1" ht="51.75" customHeight="1" thickBot="1">
      <c r="A255" s="278" t="s">
        <v>110</v>
      </c>
      <c r="B255" s="59" t="s">
        <v>506</v>
      </c>
      <c r="C255" s="59" t="s">
        <v>482</v>
      </c>
      <c r="D255" s="71" t="s">
        <v>507</v>
      </c>
      <c r="E255" s="61"/>
      <c r="F255" s="61"/>
      <c r="G255" s="61"/>
      <c r="H255" s="61"/>
      <c r="I255" s="61"/>
      <c r="J255" s="61">
        <f>L255+O255</f>
        <v>466302</v>
      </c>
      <c r="K255" s="61">
        <v>466302</v>
      </c>
      <c r="L255" s="61"/>
      <c r="M255" s="61"/>
      <c r="N255" s="61"/>
      <c r="O255" s="61">
        <f>K255</f>
        <v>466302</v>
      </c>
      <c r="P255" s="279">
        <f t="shared" si="46"/>
        <v>466302</v>
      </c>
    </row>
    <row r="256" spans="1:16" s="50" customFormat="1" ht="34.5">
      <c r="A256" s="280" t="s">
        <v>111</v>
      </c>
      <c r="B256" s="63"/>
      <c r="C256" s="63"/>
      <c r="D256" s="100" t="s">
        <v>112</v>
      </c>
      <c r="E256" s="65">
        <f>E257</f>
        <v>1528619</v>
      </c>
      <c r="F256" s="65">
        <f aca="true" t="shared" si="47" ref="F256:H257">F257</f>
        <v>1528619</v>
      </c>
      <c r="G256" s="65">
        <f t="shared" si="47"/>
        <v>1416048</v>
      </c>
      <c r="H256" s="65">
        <f t="shared" si="47"/>
        <v>76224</v>
      </c>
      <c r="I256" s="65"/>
      <c r="J256" s="65"/>
      <c r="K256" s="65"/>
      <c r="L256" s="65"/>
      <c r="M256" s="65"/>
      <c r="N256" s="65"/>
      <c r="O256" s="65"/>
      <c r="P256" s="281">
        <f t="shared" si="46"/>
        <v>1528619</v>
      </c>
    </row>
    <row r="257" spans="1:16" s="50" customFormat="1" ht="34.5">
      <c r="A257" s="280" t="s">
        <v>113</v>
      </c>
      <c r="B257" s="63"/>
      <c r="C257" s="63"/>
      <c r="D257" s="100" t="s">
        <v>112</v>
      </c>
      <c r="E257" s="65">
        <f>E258</f>
        <v>1528619</v>
      </c>
      <c r="F257" s="65">
        <f t="shared" si="47"/>
        <v>1528619</v>
      </c>
      <c r="G257" s="65">
        <f t="shared" si="47"/>
        <v>1416048</v>
      </c>
      <c r="H257" s="65">
        <f t="shared" si="47"/>
        <v>76224</v>
      </c>
      <c r="I257" s="65"/>
      <c r="J257" s="65"/>
      <c r="K257" s="65"/>
      <c r="L257" s="65"/>
      <c r="M257" s="65"/>
      <c r="N257" s="65"/>
      <c r="O257" s="65"/>
      <c r="P257" s="281">
        <f t="shared" si="46"/>
        <v>1528619</v>
      </c>
    </row>
    <row r="258" spans="1:16" s="40" customFormat="1" ht="54" thickBot="1">
      <c r="A258" s="278" t="s">
        <v>114</v>
      </c>
      <c r="B258" s="59" t="s">
        <v>532</v>
      </c>
      <c r="C258" s="59" t="s">
        <v>384</v>
      </c>
      <c r="D258" s="71" t="s">
        <v>533</v>
      </c>
      <c r="E258" s="61">
        <f>F258</f>
        <v>1528619</v>
      </c>
      <c r="F258" s="61">
        <v>1528619</v>
      </c>
      <c r="G258" s="61">
        <v>1416048</v>
      </c>
      <c r="H258" s="61">
        <f>75890+334</f>
        <v>76224</v>
      </c>
      <c r="I258" s="61"/>
      <c r="J258" s="61"/>
      <c r="K258" s="61"/>
      <c r="L258" s="61"/>
      <c r="M258" s="61"/>
      <c r="N258" s="61"/>
      <c r="O258" s="61"/>
      <c r="P258" s="279">
        <f t="shared" si="46"/>
        <v>1528619</v>
      </c>
    </row>
    <row r="259" spans="1:16" s="40" customFormat="1" ht="34.5">
      <c r="A259" s="280" t="s">
        <v>115</v>
      </c>
      <c r="B259" s="63"/>
      <c r="C259" s="63"/>
      <c r="D259" s="100" t="s">
        <v>116</v>
      </c>
      <c r="E259" s="65">
        <f>E260</f>
        <v>11234154</v>
      </c>
      <c r="F259" s="65">
        <f aca="true" t="shared" si="48" ref="F259:O259">F260</f>
        <v>8556084</v>
      </c>
      <c r="G259" s="65">
        <f t="shared" si="48"/>
        <v>2619906</v>
      </c>
      <c r="H259" s="65">
        <f t="shared" si="48"/>
        <v>99547</v>
      </c>
      <c r="I259" s="65">
        <f t="shared" si="48"/>
        <v>2478070</v>
      </c>
      <c r="J259" s="65">
        <f t="shared" si="48"/>
        <v>50500</v>
      </c>
      <c r="K259" s="65">
        <f t="shared" si="48"/>
        <v>50500</v>
      </c>
      <c r="L259" s="65"/>
      <c r="M259" s="65"/>
      <c r="N259" s="65"/>
      <c r="O259" s="65">
        <f t="shared" si="48"/>
        <v>50500</v>
      </c>
      <c r="P259" s="275">
        <f t="shared" si="46"/>
        <v>11284654</v>
      </c>
    </row>
    <row r="260" spans="1:16" s="40" customFormat="1" ht="34.5">
      <c r="A260" s="280" t="s">
        <v>117</v>
      </c>
      <c r="B260" s="63"/>
      <c r="C260" s="63"/>
      <c r="D260" s="100" t="s">
        <v>116</v>
      </c>
      <c r="E260" s="65">
        <f>E261+E262+E264+E279+E263</f>
        <v>11234154</v>
      </c>
      <c r="F260" s="65">
        <f aca="true" t="shared" si="49" ref="F260:O260">F261+F262+F264+F279+F263</f>
        <v>8556084</v>
      </c>
      <c r="G260" s="65">
        <f t="shared" si="49"/>
        <v>2619906</v>
      </c>
      <c r="H260" s="65">
        <f t="shared" si="49"/>
        <v>99547</v>
      </c>
      <c r="I260" s="65">
        <f t="shared" si="49"/>
        <v>2478070</v>
      </c>
      <c r="J260" s="65">
        <f t="shared" si="49"/>
        <v>50500</v>
      </c>
      <c r="K260" s="65">
        <f t="shared" si="49"/>
        <v>50500</v>
      </c>
      <c r="L260" s="65"/>
      <c r="M260" s="65"/>
      <c r="N260" s="65"/>
      <c r="O260" s="65">
        <f t="shared" si="49"/>
        <v>50500</v>
      </c>
      <c r="P260" s="275">
        <f t="shared" si="46"/>
        <v>11284654</v>
      </c>
    </row>
    <row r="261" spans="1:16" s="40" customFormat="1" ht="54">
      <c r="A261" s="282" t="s">
        <v>118</v>
      </c>
      <c r="B261" s="72" t="s">
        <v>532</v>
      </c>
      <c r="C261" s="72" t="s">
        <v>384</v>
      </c>
      <c r="D261" s="90" t="s">
        <v>533</v>
      </c>
      <c r="E261" s="73">
        <f>F261</f>
        <v>2847625</v>
      </c>
      <c r="F261" s="73">
        <f>2883125-35500</f>
        <v>2847625</v>
      </c>
      <c r="G261" s="73">
        <v>2619906</v>
      </c>
      <c r="H261" s="73">
        <f>99067+480</f>
        <v>99547</v>
      </c>
      <c r="I261" s="73"/>
      <c r="J261" s="73">
        <f>L261+O261</f>
        <v>50500</v>
      </c>
      <c r="K261" s="73">
        <f>35500+15000</f>
        <v>50500</v>
      </c>
      <c r="L261" s="73"/>
      <c r="M261" s="73"/>
      <c r="N261" s="73"/>
      <c r="O261" s="73">
        <f>K261</f>
        <v>50500</v>
      </c>
      <c r="P261" s="275">
        <f t="shared" si="46"/>
        <v>2898125</v>
      </c>
    </row>
    <row r="262" spans="1:16" s="40" customFormat="1" ht="18">
      <c r="A262" s="276" t="s">
        <v>119</v>
      </c>
      <c r="B262" s="41" t="s">
        <v>120</v>
      </c>
      <c r="C262" s="41" t="s">
        <v>391</v>
      </c>
      <c r="D262" s="44" t="s">
        <v>121</v>
      </c>
      <c r="E262" s="43">
        <v>200000</v>
      </c>
      <c r="F262" s="43"/>
      <c r="G262" s="43"/>
      <c r="H262" s="43"/>
      <c r="I262" s="43"/>
      <c r="J262" s="43"/>
      <c r="K262" s="43"/>
      <c r="L262" s="43"/>
      <c r="M262" s="43"/>
      <c r="N262" s="43"/>
      <c r="O262" s="43"/>
      <c r="P262" s="275">
        <f t="shared" si="46"/>
        <v>200000</v>
      </c>
    </row>
    <row r="263" spans="1:16" s="40" customFormat="1" ht="140.25" customHeight="1">
      <c r="A263" s="276" t="s">
        <v>323</v>
      </c>
      <c r="B263" s="41" t="s">
        <v>324</v>
      </c>
      <c r="C263" s="41" t="s">
        <v>390</v>
      </c>
      <c r="D263" s="44" t="s">
        <v>320</v>
      </c>
      <c r="E263" s="43">
        <f>F263+I263</f>
        <v>2400068</v>
      </c>
      <c r="F263" s="43">
        <v>400068</v>
      </c>
      <c r="G263" s="43"/>
      <c r="H263" s="43"/>
      <c r="I263" s="43">
        <v>2000000</v>
      </c>
      <c r="J263" s="43"/>
      <c r="K263" s="43"/>
      <c r="L263" s="43"/>
      <c r="M263" s="43"/>
      <c r="N263" s="43"/>
      <c r="O263" s="43"/>
      <c r="P263" s="275">
        <f t="shared" si="46"/>
        <v>2400068</v>
      </c>
    </row>
    <row r="264" spans="1:16" s="40" customFormat="1" ht="18">
      <c r="A264" s="276" t="s">
        <v>122</v>
      </c>
      <c r="B264" s="41" t="s">
        <v>123</v>
      </c>
      <c r="C264" s="41" t="s">
        <v>390</v>
      </c>
      <c r="D264" s="44" t="s">
        <v>124</v>
      </c>
      <c r="E264" s="43">
        <f>E266+E277+E278</f>
        <v>4981326</v>
      </c>
      <c r="F264" s="43">
        <f>F266+F277+F278</f>
        <v>4681326</v>
      </c>
      <c r="G264" s="43"/>
      <c r="H264" s="43"/>
      <c r="I264" s="43">
        <f>I266+I277+I278</f>
        <v>300000</v>
      </c>
      <c r="J264" s="43"/>
      <c r="K264" s="43"/>
      <c r="L264" s="43"/>
      <c r="M264" s="43"/>
      <c r="N264" s="43"/>
      <c r="O264" s="43"/>
      <c r="P264" s="275">
        <f t="shared" si="46"/>
        <v>4981326</v>
      </c>
    </row>
    <row r="265" spans="1:16" s="40" customFormat="1" ht="18">
      <c r="A265" s="276"/>
      <c r="B265" s="41"/>
      <c r="C265" s="41"/>
      <c r="D265" s="44" t="s">
        <v>226</v>
      </c>
      <c r="E265" s="43"/>
      <c r="F265" s="43"/>
      <c r="G265" s="43"/>
      <c r="H265" s="43"/>
      <c r="I265" s="43"/>
      <c r="J265" s="43"/>
      <c r="K265" s="43"/>
      <c r="L265" s="43"/>
      <c r="M265" s="43"/>
      <c r="N265" s="43"/>
      <c r="O265" s="43"/>
      <c r="P265" s="275"/>
    </row>
    <row r="266" spans="1:16" s="40" customFormat="1" ht="18">
      <c r="A266" s="276"/>
      <c r="B266" s="41"/>
      <c r="C266" s="41"/>
      <c r="D266" s="44" t="s">
        <v>243</v>
      </c>
      <c r="E266" s="43">
        <f>E267+E269+E276</f>
        <v>4731974</v>
      </c>
      <c r="F266" s="43">
        <f>F267+F269+F276</f>
        <v>4431974</v>
      </c>
      <c r="G266" s="43"/>
      <c r="H266" s="43"/>
      <c r="I266" s="43">
        <f>I267+I269+I276</f>
        <v>300000</v>
      </c>
      <c r="J266" s="43"/>
      <c r="K266" s="43"/>
      <c r="L266" s="43"/>
      <c r="M266" s="43"/>
      <c r="N266" s="43"/>
      <c r="O266" s="43"/>
      <c r="P266" s="275">
        <f t="shared" si="46"/>
        <v>4731974</v>
      </c>
    </row>
    <row r="267" spans="1:16" s="40" customFormat="1" ht="18">
      <c r="A267" s="276"/>
      <c r="B267" s="41"/>
      <c r="C267" s="41"/>
      <c r="D267" s="44" t="s">
        <v>125</v>
      </c>
      <c r="E267" s="43">
        <f>F267</f>
        <v>3811900</v>
      </c>
      <c r="F267" s="43">
        <v>3811900</v>
      </c>
      <c r="G267" s="43"/>
      <c r="H267" s="43"/>
      <c r="I267" s="43"/>
      <c r="J267" s="43"/>
      <c r="K267" s="43"/>
      <c r="L267" s="43"/>
      <c r="M267" s="43"/>
      <c r="N267" s="43"/>
      <c r="O267" s="43"/>
      <c r="P267" s="275">
        <f t="shared" si="46"/>
        <v>3811900</v>
      </c>
    </row>
    <row r="268" spans="1:16" s="40" customFormat="1" ht="18" hidden="1">
      <c r="A268" s="276"/>
      <c r="B268" s="41"/>
      <c r="C268" s="41"/>
      <c r="D268" s="42" t="s">
        <v>126</v>
      </c>
      <c r="E268" s="43"/>
      <c r="F268" s="43"/>
      <c r="G268" s="43"/>
      <c r="H268" s="43"/>
      <c r="I268" s="43"/>
      <c r="J268" s="43"/>
      <c r="K268" s="43"/>
      <c r="L268" s="43"/>
      <c r="M268" s="43"/>
      <c r="N268" s="43"/>
      <c r="O268" s="43"/>
      <c r="P268" s="275">
        <f t="shared" si="46"/>
        <v>0</v>
      </c>
    </row>
    <row r="269" spans="1:16" s="40" customFormat="1" ht="18">
      <c r="A269" s="276"/>
      <c r="B269" s="41"/>
      <c r="C269" s="41"/>
      <c r="D269" s="44" t="s">
        <v>127</v>
      </c>
      <c r="E269" s="43">
        <f>F269</f>
        <v>620074</v>
      </c>
      <c r="F269" s="43">
        <v>620074</v>
      </c>
      <c r="G269" s="43"/>
      <c r="H269" s="43"/>
      <c r="I269" s="43"/>
      <c r="J269" s="43"/>
      <c r="K269" s="43"/>
      <c r="L269" s="43"/>
      <c r="M269" s="43"/>
      <c r="N269" s="43"/>
      <c r="O269" s="43"/>
      <c r="P269" s="275">
        <f t="shared" si="46"/>
        <v>620074</v>
      </c>
    </row>
    <row r="270" spans="1:16" s="40" customFormat="1" ht="18" hidden="1">
      <c r="A270" s="276"/>
      <c r="B270" s="41"/>
      <c r="C270" s="41"/>
      <c r="D270" s="42" t="s">
        <v>126</v>
      </c>
      <c r="E270" s="43"/>
      <c r="F270" s="43"/>
      <c r="G270" s="43"/>
      <c r="H270" s="43"/>
      <c r="I270" s="43"/>
      <c r="J270" s="43"/>
      <c r="K270" s="43"/>
      <c r="L270" s="43"/>
      <c r="M270" s="43"/>
      <c r="N270" s="43"/>
      <c r="O270" s="43"/>
      <c r="P270" s="275">
        <f t="shared" si="46"/>
        <v>0</v>
      </c>
    </row>
    <row r="271" spans="1:16" s="40" customFormat="1" ht="34.5" hidden="1">
      <c r="A271" s="280"/>
      <c r="B271" s="63"/>
      <c r="C271" s="63"/>
      <c r="D271" s="100" t="s">
        <v>128</v>
      </c>
      <c r="E271" s="65"/>
      <c r="F271" s="65"/>
      <c r="G271" s="65"/>
      <c r="H271" s="65"/>
      <c r="I271" s="65"/>
      <c r="J271" s="65"/>
      <c r="K271" s="65"/>
      <c r="L271" s="65"/>
      <c r="M271" s="65"/>
      <c r="N271" s="65"/>
      <c r="O271" s="65"/>
      <c r="P271" s="275">
        <f t="shared" si="46"/>
        <v>0</v>
      </c>
    </row>
    <row r="272" spans="1:16" s="40" customFormat="1" ht="17.25" hidden="1">
      <c r="A272" s="274"/>
      <c r="B272" s="36"/>
      <c r="C272" s="36"/>
      <c r="D272" s="37" t="s">
        <v>129</v>
      </c>
      <c r="E272" s="38"/>
      <c r="F272" s="38"/>
      <c r="G272" s="38"/>
      <c r="H272" s="38"/>
      <c r="I272" s="38"/>
      <c r="J272" s="38"/>
      <c r="K272" s="38"/>
      <c r="L272" s="38"/>
      <c r="M272" s="38"/>
      <c r="N272" s="38"/>
      <c r="O272" s="38"/>
      <c r="P272" s="275">
        <f t="shared" si="46"/>
        <v>0</v>
      </c>
    </row>
    <row r="273" spans="1:16" s="40" customFormat="1" ht="54" hidden="1" thickBot="1">
      <c r="A273" s="278"/>
      <c r="B273" s="59"/>
      <c r="C273" s="59"/>
      <c r="D273" s="71" t="s">
        <v>91</v>
      </c>
      <c r="E273" s="61"/>
      <c r="F273" s="61"/>
      <c r="G273" s="61"/>
      <c r="H273" s="61"/>
      <c r="I273" s="61"/>
      <c r="J273" s="61"/>
      <c r="K273" s="61"/>
      <c r="L273" s="61"/>
      <c r="M273" s="61"/>
      <c r="N273" s="61"/>
      <c r="O273" s="61"/>
      <c r="P273" s="275">
        <f t="shared" si="46"/>
        <v>0</v>
      </c>
    </row>
    <row r="274" spans="1:16" s="40" customFormat="1" ht="36" hidden="1">
      <c r="A274" s="276"/>
      <c r="B274" s="41"/>
      <c r="C274" s="41"/>
      <c r="D274" s="55" t="s">
        <v>130</v>
      </c>
      <c r="E274" s="43"/>
      <c r="F274" s="43"/>
      <c r="G274" s="43"/>
      <c r="H274" s="43"/>
      <c r="I274" s="43"/>
      <c r="J274" s="43"/>
      <c r="K274" s="43"/>
      <c r="L274" s="43"/>
      <c r="M274" s="43"/>
      <c r="N274" s="43"/>
      <c r="O274" s="43"/>
      <c r="P274" s="275">
        <f t="shared" si="46"/>
        <v>0</v>
      </c>
    </row>
    <row r="275" spans="1:16" s="40" customFormat="1" ht="18" hidden="1">
      <c r="A275" s="282"/>
      <c r="B275" s="72"/>
      <c r="C275" s="72"/>
      <c r="D275" s="101"/>
      <c r="E275" s="73"/>
      <c r="F275" s="73"/>
      <c r="G275" s="73"/>
      <c r="H275" s="73"/>
      <c r="I275" s="73"/>
      <c r="J275" s="73"/>
      <c r="K275" s="73"/>
      <c r="L275" s="73"/>
      <c r="M275" s="73"/>
      <c r="N275" s="73"/>
      <c r="O275" s="73"/>
      <c r="P275" s="287">
        <f t="shared" si="46"/>
        <v>0</v>
      </c>
    </row>
    <row r="276" spans="1:16" s="40" customFormat="1" ht="90">
      <c r="A276" s="276"/>
      <c r="B276" s="41"/>
      <c r="C276" s="41"/>
      <c r="D276" s="44" t="s">
        <v>131</v>
      </c>
      <c r="E276" s="43">
        <f>F276+I276</f>
        <v>300000</v>
      </c>
      <c r="F276" s="43"/>
      <c r="G276" s="43"/>
      <c r="H276" s="43"/>
      <c r="I276" s="43">
        <v>300000</v>
      </c>
      <c r="J276" s="43"/>
      <c r="K276" s="43"/>
      <c r="L276" s="43"/>
      <c r="M276" s="43"/>
      <c r="N276" s="43"/>
      <c r="O276" s="43"/>
      <c r="P276" s="275">
        <f t="shared" si="46"/>
        <v>300000</v>
      </c>
    </row>
    <row r="277" spans="1:16" s="40" customFormat="1" ht="108">
      <c r="A277" s="276"/>
      <c r="B277" s="41"/>
      <c r="C277" s="41"/>
      <c r="D277" s="44" t="s">
        <v>247</v>
      </c>
      <c r="E277" s="43">
        <f>F277</f>
        <v>150000</v>
      </c>
      <c r="F277" s="43">
        <v>150000</v>
      </c>
      <c r="G277" s="43"/>
      <c r="H277" s="43"/>
      <c r="I277" s="43"/>
      <c r="J277" s="43"/>
      <c r="K277" s="43"/>
      <c r="L277" s="43"/>
      <c r="M277" s="43"/>
      <c r="N277" s="43"/>
      <c r="O277" s="43"/>
      <c r="P277" s="275">
        <f t="shared" si="46"/>
        <v>150000</v>
      </c>
    </row>
    <row r="278" spans="1:16" s="40" customFormat="1" ht="72">
      <c r="A278" s="276"/>
      <c r="B278" s="41"/>
      <c r="C278" s="41"/>
      <c r="D278" s="44" t="s">
        <v>257</v>
      </c>
      <c r="E278" s="43">
        <f>F278</f>
        <v>99352</v>
      </c>
      <c r="F278" s="43">
        <v>99352</v>
      </c>
      <c r="G278" s="43"/>
      <c r="H278" s="43"/>
      <c r="I278" s="43"/>
      <c r="J278" s="43"/>
      <c r="K278" s="43"/>
      <c r="L278" s="43"/>
      <c r="M278" s="43"/>
      <c r="N278" s="43"/>
      <c r="O278" s="43"/>
      <c r="P278" s="275">
        <f t="shared" si="46"/>
        <v>99352</v>
      </c>
    </row>
    <row r="279" spans="1:16" s="50" customFormat="1" ht="52.5">
      <c r="A279" s="274" t="s">
        <v>223</v>
      </c>
      <c r="B279" s="36" t="s">
        <v>224</v>
      </c>
      <c r="C279" s="36" t="s">
        <v>390</v>
      </c>
      <c r="D279" s="37" t="s">
        <v>225</v>
      </c>
      <c r="E279" s="38">
        <f>E281+E282+E283+E284+E285+E286</f>
        <v>805135</v>
      </c>
      <c r="F279" s="38">
        <f>F281+F282+F283+F284+F285+F286</f>
        <v>627065</v>
      </c>
      <c r="G279" s="38"/>
      <c r="H279" s="38"/>
      <c r="I279" s="38">
        <f>I281+I282+I283+I284+I285+I286</f>
        <v>178070</v>
      </c>
      <c r="J279" s="38"/>
      <c r="K279" s="38"/>
      <c r="L279" s="38"/>
      <c r="M279" s="38"/>
      <c r="N279" s="38"/>
      <c r="O279" s="38"/>
      <c r="P279" s="275">
        <f t="shared" si="46"/>
        <v>805135</v>
      </c>
    </row>
    <row r="280" spans="1:16" s="40" customFormat="1" ht="18">
      <c r="A280" s="276"/>
      <c r="B280" s="41"/>
      <c r="C280" s="41"/>
      <c r="D280" s="44" t="s">
        <v>226</v>
      </c>
      <c r="E280" s="43"/>
      <c r="F280" s="43"/>
      <c r="G280" s="43"/>
      <c r="H280" s="43"/>
      <c r="I280" s="43"/>
      <c r="J280" s="43"/>
      <c r="K280" s="43"/>
      <c r="L280" s="43"/>
      <c r="M280" s="43"/>
      <c r="N280" s="43"/>
      <c r="O280" s="43"/>
      <c r="P280" s="275"/>
    </row>
    <row r="281" spans="1:16" s="40" customFormat="1" ht="54">
      <c r="A281" s="276"/>
      <c r="B281" s="41"/>
      <c r="C281" s="41"/>
      <c r="D281" s="44" t="s">
        <v>227</v>
      </c>
      <c r="E281" s="43">
        <f>F281+I281</f>
        <v>200000</v>
      </c>
      <c r="F281" s="43">
        <f>199810+9690-50000</f>
        <v>159500</v>
      </c>
      <c r="G281" s="43"/>
      <c r="H281" s="43"/>
      <c r="I281" s="43">
        <f>22800+17700</f>
        <v>40500</v>
      </c>
      <c r="J281" s="43"/>
      <c r="K281" s="43"/>
      <c r="L281" s="43"/>
      <c r="M281" s="43"/>
      <c r="N281" s="43"/>
      <c r="O281" s="43"/>
      <c r="P281" s="275">
        <f t="shared" si="46"/>
        <v>200000</v>
      </c>
    </row>
    <row r="282" spans="1:16" s="40" customFormat="1" ht="54">
      <c r="A282" s="276"/>
      <c r="B282" s="41"/>
      <c r="C282" s="41"/>
      <c r="D282" s="42" t="s">
        <v>228</v>
      </c>
      <c r="E282" s="43">
        <f>F282+I282</f>
        <v>200000</v>
      </c>
      <c r="F282" s="43">
        <f>150000</f>
        <v>150000</v>
      </c>
      <c r="G282" s="43"/>
      <c r="H282" s="43"/>
      <c r="I282" s="43">
        <v>50000</v>
      </c>
      <c r="J282" s="43"/>
      <c r="K282" s="43"/>
      <c r="L282" s="43"/>
      <c r="M282" s="43"/>
      <c r="N282" s="43"/>
      <c r="O282" s="43"/>
      <c r="P282" s="275">
        <f t="shared" si="46"/>
        <v>200000</v>
      </c>
    </row>
    <row r="283" spans="1:16" s="40" customFormat="1" ht="90">
      <c r="A283" s="276"/>
      <c r="B283" s="41"/>
      <c r="C283" s="41"/>
      <c r="D283" s="42" t="s">
        <v>246</v>
      </c>
      <c r="E283" s="43">
        <f>F283</f>
        <v>150000</v>
      </c>
      <c r="F283" s="43">
        <v>150000</v>
      </c>
      <c r="G283" s="43"/>
      <c r="H283" s="43"/>
      <c r="I283" s="43"/>
      <c r="J283" s="43"/>
      <c r="K283" s="43"/>
      <c r="L283" s="43"/>
      <c r="M283" s="43"/>
      <c r="N283" s="43"/>
      <c r="O283" s="43"/>
      <c r="P283" s="275">
        <f t="shared" si="46"/>
        <v>150000</v>
      </c>
    </row>
    <row r="284" spans="1:16" s="40" customFormat="1" ht="60" customHeight="1">
      <c r="A284" s="276"/>
      <c r="B284" s="41"/>
      <c r="C284" s="41"/>
      <c r="D284" s="42" t="s">
        <v>229</v>
      </c>
      <c r="E284" s="43">
        <f>F284+I284</f>
        <v>100000</v>
      </c>
      <c r="F284" s="43">
        <f>14600+10000+55400</f>
        <v>80000</v>
      </c>
      <c r="G284" s="43"/>
      <c r="H284" s="43"/>
      <c r="I284" s="43">
        <f>20000</f>
        <v>20000</v>
      </c>
      <c r="J284" s="43"/>
      <c r="K284" s="43"/>
      <c r="L284" s="43"/>
      <c r="M284" s="43"/>
      <c r="N284" s="43"/>
      <c r="O284" s="43"/>
      <c r="P284" s="275">
        <f t="shared" si="46"/>
        <v>100000</v>
      </c>
    </row>
    <row r="285" spans="1:16" s="40" customFormat="1" ht="72">
      <c r="A285" s="276"/>
      <c r="B285" s="41"/>
      <c r="C285" s="41"/>
      <c r="D285" s="55" t="s">
        <v>230</v>
      </c>
      <c r="E285" s="43">
        <f>F285+I285</f>
        <v>95135</v>
      </c>
      <c r="F285" s="43">
        <v>63565</v>
      </c>
      <c r="G285" s="43"/>
      <c r="H285" s="43"/>
      <c r="I285" s="43">
        <v>31570</v>
      </c>
      <c r="J285" s="43"/>
      <c r="K285" s="43"/>
      <c r="L285" s="43"/>
      <c r="M285" s="43"/>
      <c r="N285" s="43"/>
      <c r="O285" s="43"/>
      <c r="P285" s="275">
        <f t="shared" si="46"/>
        <v>95135</v>
      </c>
    </row>
    <row r="286" spans="1:16" s="40" customFormat="1" ht="60.75" customHeight="1" thickBot="1">
      <c r="A286" s="276"/>
      <c r="B286" s="41"/>
      <c r="C286" s="41"/>
      <c r="D286" s="42" t="s">
        <v>245</v>
      </c>
      <c r="E286" s="43">
        <f>F286+I286</f>
        <v>60000</v>
      </c>
      <c r="F286" s="43">
        <v>24000</v>
      </c>
      <c r="G286" s="43"/>
      <c r="H286" s="43"/>
      <c r="I286" s="43">
        <v>36000</v>
      </c>
      <c r="J286" s="43"/>
      <c r="K286" s="43"/>
      <c r="L286" s="43"/>
      <c r="M286" s="43"/>
      <c r="N286" s="43"/>
      <c r="O286" s="43"/>
      <c r="P286" s="275">
        <f t="shared" si="46"/>
        <v>60000</v>
      </c>
    </row>
    <row r="287" spans="1:19" s="40" customFormat="1" ht="18.75" customHeight="1" thickBot="1">
      <c r="A287" s="102" t="s">
        <v>132</v>
      </c>
      <c r="B287" s="103" t="s">
        <v>132</v>
      </c>
      <c r="C287" s="103" t="s">
        <v>132</v>
      </c>
      <c r="D287" s="104" t="s">
        <v>133</v>
      </c>
      <c r="E287" s="105">
        <f>E13+E74+E104+E202+E215+E230+E235+E241+E246+E256+E259</f>
        <v>579870707</v>
      </c>
      <c r="F287" s="105">
        <f aca="true" t="shared" si="50" ref="F287:P287">F13+F74+F104+F202+F215+F230+F235+F241+F246+F256+F259</f>
        <v>577192637</v>
      </c>
      <c r="G287" s="105">
        <f t="shared" si="50"/>
        <v>228757024</v>
      </c>
      <c r="H287" s="105">
        <f t="shared" si="50"/>
        <v>34902593</v>
      </c>
      <c r="I287" s="105">
        <f t="shared" si="50"/>
        <v>2478070</v>
      </c>
      <c r="J287" s="105">
        <f t="shared" si="50"/>
        <v>41222865</v>
      </c>
      <c r="K287" s="105">
        <f t="shared" si="50"/>
        <v>30082990</v>
      </c>
      <c r="L287" s="105">
        <f t="shared" si="50"/>
        <v>10859875</v>
      </c>
      <c r="M287" s="105">
        <f t="shared" si="50"/>
        <v>1705877</v>
      </c>
      <c r="N287" s="105">
        <f t="shared" si="50"/>
        <v>48627</v>
      </c>
      <c r="O287" s="105">
        <f t="shared" si="50"/>
        <v>30362990</v>
      </c>
      <c r="P287" s="291">
        <f t="shared" si="50"/>
        <v>621093572</v>
      </c>
      <c r="Q287" s="39"/>
      <c r="S287" s="39"/>
    </row>
    <row r="288" spans="1:19" s="40" customFormat="1" ht="18.75" customHeight="1">
      <c r="A288" s="292"/>
      <c r="B288" s="292"/>
      <c r="C288" s="292"/>
      <c r="D288" s="289"/>
      <c r="E288" s="293"/>
      <c r="F288" s="293"/>
      <c r="G288" s="293"/>
      <c r="H288" s="293"/>
      <c r="I288" s="293"/>
      <c r="J288" s="293"/>
      <c r="K288" s="293"/>
      <c r="L288" s="293"/>
      <c r="M288" s="293"/>
      <c r="N288" s="293"/>
      <c r="O288" s="293"/>
      <c r="P288" s="293"/>
      <c r="Q288" s="39"/>
      <c r="S288" s="39"/>
    </row>
    <row r="289" spans="1:19" s="40" customFormat="1" ht="18.75" customHeight="1">
      <c r="A289" s="292"/>
      <c r="B289" s="292"/>
      <c r="C289" s="292"/>
      <c r="D289" s="289"/>
      <c r="E289" s="293"/>
      <c r="F289" s="293"/>
      <c r="G289" s="293"/>
      <c r="H289" s="293"/>
      <c r="I289" s="293"/>
      <c r="J289" s="293"/>
      <c r="K289" s="293"/>
      <c r="L289" s="293"/>
      <c r="M289" s="293"/>
      <c r="N289" s="293"/>
      <c r="O289" s="293"/>
      <c r="P289" s="293"/>
      <c r="Q289" s="39"/>
      <c r="S289" s="39"/>
    </row>
    <row r="290" spans="1:19" s="40" customFormat="1" ht="18.75" customHeight="1">
      <c r="A290" s="292"/>
      <c r="B290" s="292"/>
      <c r="C290" s="292"/>
      <c r="D290" s="289"/>
      <c r="E290" s="293"/>
      <c r="F290" s="293"/>
      <c r="G290" s="293"/>
      <c r="H290" s="293"/>
      <c r="I290" s="293"/>
      <c r="J290" s="293"/>
      <c r="K290" s="293"/>
      <c r="L290" s="293"/>
      <c r="M290" s="293"/>
      <c r="N290" s="293"/>
      <c r="O290" s="293"/>
      <c r="P290" s="293"/>
      <c r="Q290" s="39"/>
      <c r="S290" s="39"/>
    </row>
    <row r="291" spans="1:19" s="40" customFormat="1" ht="18.75" customHeight="1">
      <c r="A291" s="292"/>
      <c r="B291" s="292"/>
      <c r="C291" s="292"/>
      <c r="D291" s="289"/>
      <c r="E291" s="293"/>
      <c r="F291" s="293"/>
      <c r="G291" s="293"/>
      <c r="H291" s="293"/>
      <c r="I291" s="293"/>
      <c r="J291" s="293"/>
      <c r="K291" s="293"/>
      <c r="L291" s="293"/>
      <c r="M291" s="293"/>
      <c r="N291" s="293"/>
      <c r="O291" s="293"/>
      <c r="P291" s="293"/>
      <c r="Q291" s="39"/>
      <c r="S291" s="39"/>
    </row>
    <row r="292" spans="5:16" ht="12.75">
      <c r="E292" s="107"/>
      <c r="F292" s="107"/>
      <c r="G292" s="107"/>
      <c r="H292" s="107"/>
      <c r="I292" s="107"/>
      <c r="J292" s="107"/>
      <c r="K292" s="107"/>
      <c r="L292" s="107"/>
      <c r="M292" s="107"/>
      <c r="N292" s="107"/>
      <c r="O292" s="107"/>
      <c r="P292" s="107"/>
    </row>
    <row r="293" spans="5:16" ht="12.75">
      <c r="E293" s="107"/>
      <c r="F293" s="107"/>
      <c r="G293" s="107"/>
      <c r="H293" s="107"/>
      <c r="I293" s="107"/>
      <c r="J293" s="108"/>
      <c r="K293" s="108"/>
      <c r="L293" s="107"/>
      <c r="M293" s="107"/>
      <c r="N293" s="107"/>
      <c r="O293" s="107"/>
      <c r="P293" s="107"/>
    </row>
    <row r="294" spans="1:17" s="111" customFormat="1" ht="18">
      <c r="A294" s="109"/>
      <c r="B294" s="31" t="s">
        <v>350</v>
      </c>
      <c r="C294" s="31"/>
      <c r="D294" s="33"/>
      <c r="E294" s="110"/>
      <c r="F294" s="110"/>
      <c r="G294" s="110"/>
      <c r="H294" s="110"/>
      <c r="I294" s="110"/>
      <c r="J294" s="110"/>
      <c r="K294" s="110"/>
      <c r="L294" s="110"/>
      <c r="N294" s="110"/>
      <c r="O294" s="112" t="s">
        <v>351</v>
      </c>
      <c r="P294" s="110"/>
      <c r="Q294" s="113"/>
    </row>
    <row r="295" spans="5:16" ht="18">
      <c r="E295" s="114"/>
      <c r="F295" s="114"/>
      <c r="G295" s="114"/>
      <c r="H295" s="114"/>
      <c r="I295" s="114"/>
      <c r="J295" s="114"/>
      <c r="K295" s="114"/>
      <c r="L295" s="114"/>
      <c r="M295" s="114"/>
      <c r="N295" s="114"/>
      <c r="O295" s="114"/>
      <c r="P295" s="114"/>
    </row>
    <row r="296" spans="5:11" ht="18">
      <c r="E296" s="115"/>
      <c r="F296" s="116"/>
      <c r="K296" s="29"/>
    </row>
    <row r="297" spans="5:16" ht="18">
      <c r="E297" s="114"/>
      <c r="F297" s="114"/>
      <c r="G297" s="114"/>
      <c r="H297" s="114"/>
      <c r="I297" s="114"/>
      <c r="J297" s="114"/>
      <c r="K297" s="114"/>
      <c r="L297" s="114"/>
      <c r="M297" s="114"/>
      <c r="N297" s="114"/>
      <c r="O297" s="114"/>
      <c r="P297" s="114"/>
    </row>
    <row r="298" spans="5:13" ht="18">
      <c r="E298" s="115"/>
      <c r="M298" s="29"/>
    </row>
    <row r="299" spans="5:16" ht="12.75">
      <c r="E299" s="116"/>
      <c r="F299" s="116"/>
      <c r="P299" s="29"/>
    </row>
    <row r="300" ht="18">
      <c r="E300" s="114"/>
    </row>
    <row r="302" ht="18">
      <c r="E302" s="115"/>
    </row>
    <row r="304" ht="12.75">
      <c r="E304" s="116"/>
    </row>
  </sheetData>
  <sheetProtection/>
  <mergeCells count="23">
    <mergeCell ref="N9:N11"/>
    <mergeCell ref="J8:J11"/>
    <mergeCell ref="K8:K11"/>
    <mergeCell ref="O1:P1"/>
    <mergeCell ref="B4:P4"/>
    <mergeCell ref="B5:P5"/>
    <mergeCell ref="P7:P11"/>
    <mergeCell ref="L8:L11"/>
    <mergeCell ref="M8:N8"/>
    <mergeCell ref="O8:O11"/>
    <mergeCell ref="G9:G11"/>
    <mergeCell ref="H9:H11"/>
    <mergeCell ref="M9:M11"/>
    <mergeCell ref="E7:I7"/>
    <mergeCell ref="J7:O7"/>
    <mergeCell ref="E8:E11"/>
    <mergeCell ref="A7:A11"/>
    <mergeCell ref="B7:B11"/>
    <mergeCell ref="C7:C11"/>
    <mergeCell ref="D7:D11"/>
    <mergeCell ref="F8:F11"/>
    <mergeCell ref="G8:H8"/>
    <mergeCell ref="I8:I11"/>
  </mergeCells>
  <printOptions/>
  <pageMargins left="0.7086614173228347" right="0.5118110236220472" top="0.7480314960629921" bottom="0.7480314960629921" header="0.31496062992125984" footer="0.31496062992125984"/>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AH29"/>
  <sheetViews>
    <sheetView zoomScalePageLayoutView="0" workbookViewId="0" topLeftCell="I1">
      <selection activeCell="O4" sqref="O4"/>
    </sheetView>
  </sheetViews>
  <sheetFormatPr defaultColWidth="9.16015625" defaultRowHeight="12.75"/>
  <cols>
    <col min="1" max="1" width="16.16015625" style="230" customWidth="1"/>
    <col min="2" max="2" width="26.33203125" style="230" customWidth="1"/>
    <col min="3" max="3" width="18.5" style="230" customWidth="1"/>
    <col min="4" max="4" width="27.66015625" style="229" customWidth="1"/>
    <col min="5" max="5" width="21.5" style="229" customWidth="1"/>
    <col min="6" max="6" width="30.5" style="229" customWidth="1"/>
    <col min="7" max="7" width="25.83203125" style="229" customWidth="1"/>
    <col min="8" max="9" width="21.33203125" style="229" customWidth="1"/>
    <col min="10" max="10" width="17.16015625" style="229" customWidth="1"/>
    <col min="11" max="11" width="18.66015625" style="229" customWidth="1"/>
    <col min="12" max="13" width="19.5" style="229" customWidth="1"/>
    <col min="14" max="14" width="19.66015625" style="229" customWidth="1"/>
    <col min="15" max="15" width="15.66015625" style="229" customWidth="1"/>
    <col min="16" max="16" width="16.66015625" style="229" customWidth="1"/>
    <col min="17" max="17" width="28.5" style="229" customWidth="1"/>
    <col min="18" max="18" width="13.16015625" style="229" customWidth="1"/>
    <col min="19" max="19" width="16.16015625" style="229" customWidth="1"/>
    <col min="20" max="21" width="16.33203125" style="229" customWidth="1"/>
    <col min="22" max="22" width="20.83203125" style="229" customWidth="1"/>
    <col min="23" max="23" width="21" style="229" customWidth="1"/>
    <col min="24" max="24" width="13.83203125" style="230" customWidth="1"/>
    <col min="25" max="25" width="13.33203125" style="230" customWidth="1"/>
    <col min="26" max="26" width="16.16015625" style="230" customWidth="1"/>
    <col min="27" max="27" width="19.5" style="230" customWidth="1"/>
    <col min="28" max="28" width="19" style="230" customWidth="1"/>
    <col min="29" max="29" width="15.5" style="230" customWidth="1"/>
    <col min="30" max="30" width="19.33203125" style="230" customWidth="1"/>
    <col min="31" max="31" width="26.16015625" style="230" customWidth="1"/>
    <col min="32" max="32" width="37.33203125" style="230" customWidth="1"/>
    <col min="33" max="33" width="17.16015625" style="230" customWidth="1"/>
    <col min="34" max="34" width="20.16015625" style="230" customWidth="1"/>
    <col min="35" max="16384" width="9.16015625" style="230" customWidth="1"/>
  </cols>
  <sheetData>
    <row r="1" spans="1:27" ht="22.5" customHeight="1">
      <c r="A1" s="4"/>
      <c r="B1" s="4"/>
      <c r="C1" s="4"/>
      <c r="D1" s="228"/>
      <c r="E1" s="228"/>
      <c r="F1" s="228"/>
      <c r="G1" s="228"/>
      <c r="H1" s="228"/>
      <c r="I1" s="228"/>
      <c r="J1" s="228"/>
      <c r="K1" s="228"/>
      <c r="L1" s="228"/>
      <c r="M1" s="1" t="s">
        <v>319</v>
      </c>
      <c r="N1" s="230"/>
      <c r="O1" s="228"/>
      <c r="P1" s="228"/>
      <c r="Q1" s="228"/>
      <c r="AA1" s="1"/>
    </row>
    <row r="2" spans="1:27" ht="15">
      <c r="A2" s="4"/>
      <c r="B2" s="4"/>
      <c r="C2" s="4"/>
      <c r="D2" s="228"/>
      <c r="E2" s="228"/>
      <c r="F2" s="228"/>
      <c r="G2" s="228"/>
      <c r="H2" s="228"/>
      <c r="I2" s="228"/>
      <c r="J2" s="228"/>
      <c r="K2" s="228"/>
      <c r="L2" s="228"/>
      <c r="M2" s="8" t="s">
        <v>352</v>
      </c>
      <c r="N2" s="230"/>
      <c r="O2" s="228"/>
      <c r="P2" s="228"/>
      <c r="Q2" s="228"/>
      <c r="AA2" s="8"/>
    </row>
    <row r="3" spans="1:27" ht="15">
      <c r="A3" s="4"/>
      <c r="B3" s="4"/>
      <c r="C3" s="4"/>
      <c r="D3" s="228"/>
      <c r="E3" s="228"/>
      <c r="F3" s="228"/>
      <c r="G3" s="228"/>
      <c r="H3" s="228"/>
      <c r="I3" s="228"/>
      <c r="J3" s="228"/>
      <c r="K3" s="228"/>
      <c r="L3" s="228"/>
      <c r="M3" s="8" t="s">
        <v>353</v>
      </c>
      <c r="N3" s="230"/>
      <c r="O3" s="228"/>
      <c r="P3" s="228"/>
      <c r="Q3" s="228"/>
      <c r="AA3" s="8"/>
    </row>
    <row r="4" spans="1:27" ht="15">
      <c r="A4" s="4"/>
      <c r="B4" s="4"/>
      <c r="C4" s="4"/>
      <c r="D4" s="228"/>
      <c r="E4" s="228"/>
      <c r="F4" s="228"/>
      <c r="G4" s="228"/>
      <c r="H4" s="228"/>
      <c r="I4" s="228"/>
      <c r="J4" s="228"/>
      <c r="K4" s="228"/>
      <c r="L4" s="228"/>
      <c r="M4" s="8" t="s">
        <v>208</v>
      </c>
      <c r="N4" s="230"/>
      <c r="O4" s="228"/>
      <c r="P4" s="228"/>
      <c r="Q4" s="228"/>
      <c r="AA4" s="8"/>
    </row>
    <row r="5" spans="1:27" ht="15">
      <c r="A5" s="4"/>
      <c r="B5" s="4"/>
      <c r="C5" s="4"/>
      <c r="D5" s="228"/>
      <c r="E5" s="228"/>
      <c r="F5" s="228"/>
      <c r="G5" s="228"/>
      <c r="H5" s="228"/>
      <c r="I5" s="228"/>
      <c r="J5" s="228"/>
      <c r="K5" s="228"/>
      <c r="L5" s="228"/>
      <c r="M5" s="8"/>
      <c r="N5" s="230"/>
      <c r="O5" s="228"/>
      <c r="P5" s="228"/>
      <c r="Q5" s="228"/>
      <c r="AA5" s="8"/>
    </row>
    <row r="6" spans="1:29" ht="18" customHeight="1">
      <c r="A6" s="361" t="s">
        <v>266</v>
      </c>
      <c r="B6" s="362"/>
      <c r="C6" s="362"/>
      <c r="D6" s="362"/>
      <c r="E6" s="362"/>
      <c r="F6" s="362"/>
      <c r="G6" s="362"/>
      <c r="H6" s="362"/>
      <c r="I6" s="362"/>
      <c r="J6" s="362"/>
      <c r="K6" s="362"/>
      <c r="L6" s="362"/>
      <c r="M6" s="362"/>
      <c r="N6" s="362"/>
      <c r="O6" s="258"/>
      <c r="P6" s="258"/>
      <c r="Q6" s="258"/>
      <c r="R6" s="258"/>
      <c r="S6" s="258"/>
      <c r="T6" s="258"/>
      <c r="U6" s="231"/>
      <c r="V6" s="231"/>
      <c r="W6" s="231"/>
      <c r="X6" s="232"/>
      <c r="Y6" s="232"/>
      <c r="Z6" s="232"/>
      <c r="AA6" s="232"/>
      <c r="AB6" s="232"/>
      <c r="AC6" s="232"/>
    </row>
    <row r="7" spans="1:29" ht="18" customHeight="1" thickBot="1">
      <c r="A7" s="233"/>
      <c r="D7" s="234"/>
      <c r="E7" s="234"/>
      <c r="F7" s="234"/>
      <c r="G7" s="234"/>
      <c r="H7" s="234"/>
      <c r="I7" s="234"/>
      <c r="J7" s="234"/>
      <c r="K7" s="234"/>
      <c r="L7" s="234"/>
      <c r="M7" s="234"/>
      <c r="N7" s="234"/>
      <c r="O7" s="234"/>
      <c r="P7" s="234"/>
      <c r="Q7" s="234"/>
      <c r="R7" s="234"/>
      <c r="S7" s="234"/>
      <c r="T7" s="234"/>
      <c r="U7" s="234"/>
      <c r="V7" s="234"/>
      <c r="W7" s="234"/>
      <c r="AC7" s="235" t="s">
        <v>356</v>
      </c>
    </row>
    <row r="8" spans="1:29" s="4" customFormat="1" ht="21.75" customHeight="1">
      <c r="A8" s="383" t="s">
        <v>267</v>
      </c>
      <c r="B8" s="387" t="s">
        <v>268</v>
      </c>
      <c r="C8" s="363" t="s">
        <v>269</v>
      </c>
      <c r="D8" s="364"/>
      <c r="E8" s="364"/>
      <c r="F8" s="364"/>
      <c r="G8" s="364"/>
      <c r="H8" s="364"/>
      <c r="I8" s="364"/>
      <c r="J8" s="364"/>
      <c r="K8" s="364"/>
      <c r="L8" s="364"/>
      <c r="M8" s="364"/>
      <c r="N8" s="364"/>
      <c r="O8" s="356" t="s">
        <v>269</v>
      </c>
      <c r="P8" s="357"/>
      <c r="Q8" s="357"/>
      <c r="R8" s="357"/>
      <c r="S8" s="357"/>
      <c r="T8" s="357"/>
      <c r="U8" s="423" t="s">
        <v>270</v>
      </c>
      <c r="V8" s="423"/>
      <c r="W8" s="423"/>
      <c r="X8" s="424"/>
      <c r="Y8" s="424"/>
      <c r="Z8" s="424"/>
      <c r="AA8" s="424"/>
      <c r="AB8" s="424"/>
      <c r="AC8" s="425"/>
    </row>
    <row r="9" spans="1:29" s="4" customFormat="1" ht="15.75" customHeight="1">
      <c r="A9" s="384"/>
      <c r="B9" s="388"/>
      <c r="C9" s="426" t="s">
        <v>271</v>
      </c>
      <c r="D9" s="365" t="s">
        <v>272</v>
      </c>
      <c r="E9" s="366"/>
      <c r="F9" s="366"/>
      <c r="G9" s="366"/>
      <c r="H9" s="366"/>
      <c r="I9" s="366"/>
      <c r="J9" s="366"/>
      <c r="K9" s="366"/>
      <c r="L9" s="366"/>
      <c r="M9" s="366"/>
      <c r="N9" s="366"/>
      <c r="O9" s="381" t="s">
        <v>272</v>
      </c>
      <c r="P9" s="382"/>
      <c r="Q9" s="382"/>
      <c r="R9" s="382"/>
      <c r="S9" s="382"/>
      <c r="T9" s="381" t="s">
        <v>254</v>
      </c>
      <c r="U9" s="374" t="s">
        <v>272</v>
      </c>
      <c r="V9" s="374"/>
      <c r="W9" s="374"/>
      <c r="X9" s="374"/>
      <c r="Y9" s="374"/>
      <c r="Z9" s="374"/>
      <c r="AA9" s="374"/>
      <c r="AB9" s="375"/>
      <c r="AC9" s="428" t="s">
        <v>254</v>
      </c>
    </row>
    <row r="10" spans="1:29" s="4" customFormat="1" ht="18" customHeight="1">
      <c r="A10" s="384"/>
      <c r="B10" s="388"/>
      <c r="C10" s="427"/>
      <c r="D10" s="365" t="s">
        <v>273</v>
      </c>
      <c r="E10" s="367"/>
      <c r="F10" s="367"/>
      <c r="G10" s="367"/>
      <c r="H10" s="367"/>
      <c r="I10" s="367"/>
      <c r="J10" s="367"/>
      <c r="K10" s="367"/>
      <c r="L10" s="367"/>
      <c r="M10" s="367"/>
      <c r="N10" s="367"/>
      <c r="O10" s="381" t="s">
        <v>273</v>
      </c>
      <c r="P10" s="382"/>
      <c r="Q10" s="382"/>
      <c r="R10" s="382"/>
      <c r="S10" s="382"/>
      <c r="T10" s="359"/>
      <c r="U10" s="374" t="s">
        <v>274</v>
      </c>
      <c r="V10" s="374"/>
      <c r="W10" s="374"/>
      <c r="X10" s="430"/>
      <c r="Y10" s="430"/>
      <c r="Z10" s="430"/>
      <c r="AA10" s="430"/>
      <c r="AB10" s="431"/>
      <c r="AC10" s="429"/>
    </row>
    <row r="11" spans="1:29" ht="17.25" customHeight="1">
      <c r="A11" s="385"/>
      <c r="B11" s="389"/>
      <c r="C11" s="237"/>
      <c r="D11" s="432" t="s">
        <v>275</v>
      </c>
      <c r="E11" s="432" t="s">
        <v>276</v>
      </c>
      <c r="F11" s="417" t="s">
        <v>277</v>
      </c>
      <c r="G11" s="417" t="s">
        <v>278</v>
      </c>
      <c r="H11" s="391" t="s">
        <v>279</v>
      </c>
      <c r="I11" s="391" t="s">
        <v>280</v>
      </c>
      <c r="J11" s="415" t="s">
        <v>315</v>
      </c>
      <c r="K11" s="416"/>
      <c r="L11" s="416"/>
      <c r="M11" s="391" t="s">
        <v>281</v>
      </c>
      <c r="N11" s="420" t="s">
        <v>282</v>
      </c>
      <c r="O11" s="358" t="s">
        <v>124</v>
      </c>
      <c r="P11" s="358"/>
      <c r="Q11" s="358"/>
      <c r="R11" s="358"/>
      <c r="S11" s="359"/>
      <c r="T11" s="359"/>
      <c r="U11" s="409" t="s">
        <v>225</v>
      </c>
      <c r="V11" s="381" t="s">
        <v>320</v>
      </c>
      <c r="W11" s="381"/>
      <c r="X11" s="373" t="s">
        <v>124</v>
      </c>
      <c r="Y11" s="374"/>
      <c r="Z11" s="374"/>
      <c r="AA11" s="374"/>
      <c r="AB11" s="375"/>
      <c r="AC11" s="429"/>
    </row>
    <row r="12" spans="1:29" ht="409.5" customHeight="1">
      <c r="A12" s="385"/>
      <c r="B12" s="389"/>
      <c r="C12" s="368" t="s">
        <v>283</v>
      </c>
      <c r="D12" s="368"/>
      <c r="E12" s="418"/>
      <c r="F12" s="418"/>
      <c r="G12" s="418"/>
      <c r="H12" s="368"/>
      <c r="I12" s="368"/>
      <c r="J12" s="416"/>
      <c r="K12" s="416"/>
      <c r="L12" s="416"/>
      <c r="M12" s="368"/>
      <c r="N12" s="421"/>
      <c r="O12" s="372" t="s">
        <v>284</v>
      </c>
      <c r="P12" s="381"/>
      <c r="Q12" s="381"/>
      <c r="R12" s="381"/>
      <c r="S12" s="372" t="s">
        <v>285</v>
      </c>
      <c r="T12" s="359"/>
      <c r="U12" s="410"/>
      <c r="V12" s="381"/>
      <c r="W12" s="381"/>
      <c r="X12" s="381" t="s">
        <v>125</v>
      </c>
      <c r="Y12" s="381" t="s">
        <v>127</v>
      </c>
      <c r="Z12" s="372" t="s">
        <v>284</v>
      </c>
      <c r="AA12" s="372" t="s">
        <v>286</v>
      </c>
      <c r="AB12" s="372" t="s">
        <v>287</v>
      </c>
      <c r="AC12" s="429"/>
    </row>
    <row r="13" spans="1:29" ht="27" customHeight="1">
      <c r="A13" s="385"/>
      <c r="B13" s="389"/>
      <c r="C13" s="368"/>
      <c r="D13" s="368"/>
      <c r="E13" s="418"/>
      <c r="F13" s="418"/>
      <c r="G13" s="418"/>
      <c r="H13" s="369"/>
      <c r="I13" s="368"/>
      <c r="J13" s="416"/>
      <c r="K13" s="416"/>
      <c r="L13" s="416"/>
      <c r="M13" s="369"/>
      <c r="N13" s="421"/>
      <c r="O13" s="415" t="s">
        <v>375</v>
      </c>
      <c r="P13" s="381"/>
      <c r="Q13" s="381"/>
      <c r="R13" s="381"/>
      <c r="S13" s="381"/>
      <c r="T13" s="359"/>
      <c r="U13" s="410"/>
      <c r="V13" s="381" t="s">
        <v>226</v>
      </c>
      <c r="W13" s="381"/>
      <c r="X13" s="381"/>
      <c r="Y13" s="381"/>
      <c r="Z13" s="414"/>
      <c r="AA13" s="414"/>
      <c r="AB13" s="414"/>
      <c r="AC13" s="429"/>
    </row>
    <row r="14" spans="1:29" ht="147.75" customHeight="1">
      <c r="A14" s="385"/>
      <c r="B14" s="389"/>
      <c r="C14" s="368"/>
      <c r="D14" s="368"/>
      <c r="E14" s="418"/>
      <c r="F14" s="418"/>
      <c r="G14" s="418"/>
      <c r="H14" s="370"/>
      <c r="I14" s="368"/>
      <c r="J14" s="412" t="s">
        <v>316</v>
      </c>
      <c r="K14" s="412" t="s">
        <v>317</v>
      </c>
      <c r="L14" s="412" t="s">
        <v>318</v>
      </c>
      <c r="M14" s="370"/>
      <c r="N14" s="421"/>
      <c r="O14" s="415" t="s">
        <v>288</v>
      </c>
      <c r="P14" s="381" t="s">
        <v>289</v>
      </c>
      <c r="Q14" s="381" t="s">
        <v>290</v>
      </c>
      <c r="R14" s="381" t="s">
        <v>291</v>
      </c>
      <c r="S14" s="381"/>
      <c r="T14" s="359"/>
      <c r="U14" s="410"/>
      <c r="V14" s="381" t="s">
        <v>321</v>
      </c>
      <c r="W14" s="381" t="s">
        <v>322</v>
      </c>
      <c r="X14" s="381"/>
      <c r="Y14" s="381"/>
      <c r="Z14" s="414"/>
      <c r="AA14" s="414"/>
      <c r="AB14" s="414"/>
      <c r="AC14" s="429"/>
    </row>
    <row r="15" spans="1:29" ht="96" customHeight="1">
      <c r="A15" s="386"/>
      <c r="B15" s="390"/>
      <c r="C15" s="371"/>
      <c r="D15" s="371"/>
      <c r="E15" s="419"/>
      <c r="F15" s="419"/>
      <c r="G15" s="419"/>
      <c r="H15" s="239" t="s">
        <v>375</v>
      </c>
      <c r="I15" s="371"/>
      <c r="J15" s="413"/>
      <c r="K15" s="413"/>
      <c r="L15" s="413"/>
      <c r="M15" s="236" t="s">
        <v>292</v>
      </c>
      <c r="N15" s="422"/>
      <c r="O15" s="381"/>
      <c r="P15" s="381"/>
      <c r="Q15" s="381"/>
      <c r="R15" s="381"/>
      <c r="S15" s="381"/>
      <c r="T15" s="359"/>
      <c r="U15" s="411"/>
      <c r="V15" s="416"/>
      <c r="W15" s="416"/>
      <c r="X15" s="381"/>
      <c r="Y15" s="381"/>
      <c r="Z15" s="239" t="s">
        <v>375</v>
      </c>
      <c r="AA15" s="414"/>
      <c r="AB15" s="414"/>
      <c r="AC15" s="429"/>
    </row>
    <row r="16" spans="1:29" ht="12.75">
      <c r="A16" s="294">
        <v>1</v>
      </c>
      <c r="B16" s="240">
        <v>2</v>
      </c>
      <c r="C16" s="241">
        <v>3</v>
      </c>
      <c r="D16" s="242" t="s">
        <v>293</v>
      </c>
      <c r="E16" s="242" t="s">
        <v>294</v>
      </c>
      <c r="F16" s="242" t="s">
        <v>295</v>
      </c>
      <c r="G16" s="242" t="s">
        <v>296</v>
      </c>
      <c r="H16" s="242" t="s">
        <v>297</v>
      </c>
      <c r="I16" s="243" t="s">
        <v>298</v>
      </c>
      <c r="J16" s="243" t="s">
        <v>299</v>
      </c>
      <c r="K16" s="242" t="s">
        <v>300</v>
      </c>
      <c r="L16" s="242" t="s">
        <v>301</v>
      </c>
      <c r="M16" s="242" t="s">
        <v>302</v>
      </c>
      <c r="N16" s="245" t="s">
        <v>303</v>
      </c>
      <c r="O16" s="242" t="s">
        <v>304</v>
      </c>
      <c r="P16" s="241">
        <v>16</v>
      </c>
      <c r="Q16" s="241">
        <v>17</v>
      </c>
      <c r="R16" s="241">
        <v>18</v>
      </c>
      <c r="S16" s="241">
        <v>19</v>
      </c>
      <c r="T16" s="241">
        <v>20</v>
      </c>
      <c r="U16" s="261">
        <v>21</v>
      </c>
      <c r="V16" s="241">
        <v>22</v>
      </c>
      <c r="W16" s="241">
        <v>23</v>
      </c>
      <c r="X16" s="241">
        <v>24</v>
      </c>
      <c r="Y16" s="241">
        <v>25</v>
      </c>
      <c r="Z16" s="241">
        <v>26</v>
      </c>
      <c r="AA16" s="241">
        <v>27</v>
      </c>
      <c r="AB16" s="241">
        <v>28</v>
      </c>
      <c r="AC16" s="295">
        <v>29</v>
      </c>
    </row>
    <row r="17" spans="1:29" ht="18">
      <c r="A17" s="294"/>
      <c r="B17" s="244" t="s">
        <v>305</v>
      </c>
      <c r="C17" s="241"/>
      <c r="D17" s="242"/>
      <c r="E17" s="242"/>
      <c r="F17" s="242"/>
      <c r="G17" s="242"/>
      <c r="H17" s="242"/>
      <c r="I17" s="245"/>
      <c r="J17" s="245"/>
      <c r="K17" s="245"/>
      <c r="L17" s="245"/>
      <c r="M17" s="242"/>
      <c r="N17" s="245"/>
      <c r="O17" s="242"/>
      <c r="P17" s="242"/>
      <c r="Q17" s="242"/>
      <c r="R17" s="242"/>
      <c r="S17" s="241"/>
      <c r="T17" s="241"/>
      <c r="U17" s="262">
        <v>805135</v>
      </c>
      <c r="V17" s="262"/>
      <c r="W17" s="262"/>
      <c r="X17" s="241"/>
      <c r="Y17" s="241"/>
      <c r="Z17" s="241"/>
      <c r="AA17" s="241"/>
      <c r="AB17" s="241"/>
      <c r="AC17" s="296">
        <f>U17</f>
        <v>805135</v>
      </c>
    </row>
    <row r="18" spans="1:31" ht="18">
      <c r="A18" s="297">
        <v>21100000000</v>
      </c>
      <c r="B18" s="244" t="s">
        <v>306</v>
      </c>
      <c r="C18" s="246">
        <v>3448400</v>
      </c>
      <c r="D18" s="247" t="s">
        <v>307</v>
      </c>
      <c r="E18" s="247" t="s">
        <v>308</v>
      </c>
      <c r="F18" s="247" t="s">
        <v>309</v>
      </c>
      <c r="G18" s="247" t="s">
        <v>310</v>
      </c>
      <c r="H18" s="248">
        <v>211133</v>
      </c>
      <c r="I18" s="249">
        <v>761066</v>
      </c>
      <c r="J18" s="248">
        <v>306922</v>
      </c>
      <c r="K18" s="248">
        <v>83748</v>
      </c>
      <c r="L18" s="248">
        <v>800000</v>
      </c>
      <c r="M18" s="248">
        <v>98700</v>
      </c>
      <c r="N18" s="259" t="s">
        <v>311</v>
      </c>
      <c r="O18" s="250">
        <v>300000</v>
      </c>
      <c r="P18" s="250">
        <v>400000</v>
      </c>
      <c r="Q18" s="250">
        <v>500000</v>
      </c>
      <c r="R18" s="250">
        <f>SUM(O18:Q18)</f>
        <v>1200000</v>
      </c>
      <c r="S18" s="247" t="s">
        <v>312</v>
      </c>
      <c r="T18" s="250">
        <f>C18+D18+E18+F18+G18+H18+I18+M18+N18+O18+S18+P18+Q18+L18+K18+J18</f>
        <v>178578837</v>
      </c>
      <c r="U18" s="263"/>
      <c r="V18" s="263">
        <v>400068</v>
      </c>
      <c r="W18" s="263">
        <v>2000000</v>
      </c>
      <c r="X18" s="251"/>
      <c r="Y18" s="251"/>
      <c r="Z18" s="251"/>
      <c r="AA18" s="251">
        <v>150000</v>
      </c>
      <c r="AB18" s="251"/>
      <c r="AC18" s="298">
        <f>AA18+V18+W18</f>
        <v>2550068</v>
      </c>
      <c r="AD18" s="4"/>
      <c r="AE18" s="4"/>
    </row>
    <row r="19" spans="1:29" ht="33" customHeight="1">
      <c r="A19" s="297">
        <v>21203501000</v>
      </c>
      <c r="B19" s="244" t="s">
        <v>313</v>
      </c>
      <c r="C19" s="246"/>
      <c r="D19" s="250"/>
      <c r="E19" s="250"/>
      <c r="F19" s="250"/>
      <c r="G19" s="250"/>
      <c r="H19" s="250"/>
      <c r="I19" s="250"/>
      <c r="J19" s="250"/>
      <c r="K19" s="250"/>
      <c r="L19" s="250"/>
      <c r="M19" s="250"/>
      <c r="N19" s="260"/>
      <c r="O19" s="250"/>
      <c r="P19" s="250"/>
      <c r="Q19" s="250"/>
      <c r="R19" s="250"/>
      <c r="S19" s="250"/>
      <c r="T19" s="250"/>
      <c r="U19" s="263"/>
      <c r="V19" s="263"/>
      <c r="W19" s="263"/>
      <c r="X19" s="251">
        <v>3811900</v>
      </c>
      <c r="Y19" s="251">
        <v>620074</v>
      </c>
      <c r="Z19" s="251">
        <v>300000</v>
      </c>
      <c r="AA19" s="251"/>
      <c r="AB19" s="251"/>
      <c r="AC19" s="299">
        <f>X19+Z19+Y19</f>
        <v>4731974</v>
      </c>
    </row>
    <row r="20" spans="1:29" ht="33" customHeight="1">
      <c r="A20" s="300">
        <v>21203701700</v>
      </c>
      <c r="B20" s="238" t="s">
        <v>314</v>
      </c>
      <c r="C20" s="246"/>
      <c r="D20" s="250"/>
      <c r="E20" s="250"/>
      <c r="F20" s="250"/>
      <c r="G20" s="250"/>
      <c r="H20" s="250"/>
      <c r="I20" s="250"/>
      <c r="J20" s="250"/>
      <c r="K20" s="250"/>
      <c r="L20" s="250"/>
      <c r="M20" s="250"/>
      <c r="N20" s="260"/>
      <c r="O20" s="250"/>
      <c r="P20" s="250"/>
      <c r="Q20" s="250"/>
      <c r="R20" s="250"/>
      <c r="S20" s="250"/>
      <c r="T20" s="250"/>
      <c r="U20" s="263"/>
      <c r="V20" s="263"/>
      <c r="W20" s="263"/>
      <c r="X20" s="251"/>
      <c r="Y20" s="251"/>
      <c r="Z20" s="251"/>
      <c r="AA20" s="251"/>
      <c r="AB20" s="251">
        <v>99352</v>
      </c>
      <c r="AC20" s="299">
        <f>AB20</f>
        <v>99352</v>
      </c>
    </row>
    <row r="21" spans="1:29" ht="18" thickBot="1">
      <c r="A21" s="301" t="s">
        <v>354</v>
      </c>
      <c r="B21" s="302" t="s">
        <v>133</v>
      </c>
      <c r="C21" s="303">
        <f>SUM(C18:C19)</f>
        <v>3448400</v>
      </c>
      <c r="D21" s="303">
        <f>D18+D19</f>
        <v>63379700</v>
      </c>
      <c r="E21" s="303">
        <f>E18+E19</f>
        <v>1407100</v>
      </c>
      <c r="F21" s="303">
        <f>F18+F19</f>
        <v>105770800</v>
      </c>
      <c r="G21" s="303">
        <f>G18+G19</f>
        <v>518700</v>
      </c>
      <c r="H21" s="303">
        <f aca="true" t="shared" si="0" ref="H21:S21">H18+H19</f>
        <v>211133</v>
      </c>
      <c r="I21" s="303">
        <f t="shared" si="0"/>
        <v>761066</v>
      </c>
      <c r="J21" s="303">
        <f t="shared" si="0"/>
        <v>306922</v>
      </c>
      <c r="K21" s="303">
        <f t="shared" si="0"/>
        <v>83748</v>
      </c>
      <c r="L21" s="303">
        <f t="shared" si="0"/>
        <v>800000</v>
      </c>
      <c r="M21" s="303">
        <f t="shared" si="0"/>
        <v>98700</v>
      </c>
      <c r="N21" s="304">
        <f t="shared" si="0"/>
        <v>459900</v>
      </c>
      <c r="O21" s="303">
        <f t="shared" si="0"/>
        <v>300000</v>
      </c>
      <c r="P21" s="303">
        <f t="shared" si="0"/>
        <v>400000</v>
      </c>
      <c r="Q21" s="303">
        <f t="shared" si="0"/>
        <v>500000</v>
      </c>
      <c r="R21" s="303">
        <f t="shared" si="0"/>
        <v>1200000</v>
      </c>
      <c r="S21" s="303">
        <f t="shared" si="0"/>
        <v>132668</v>
      </c>
      <c r="T21" s="305">
        <f>T18</f>
        <v>178578837</v>
      </c>
      <c r="U21" s="306">
        <f>U17</f>
        <v>805135</v>
      </c>
      <c r="V21" s="305">
        <f>V18</f>
        <v>400068</v>
      </c>
      <c r="W21" s="305">
        <f>W18</f>
        <v>2000000</v>
      </c>
      <c r="X21" s="303">
        <f>SUM(X18:X19)</f>
        <v>3811900</v>
      </c>
      <c r="Y21" s="303">
        <f>SUM(Y18:Y19)</f>
        <v>620074</v>
      </c>
      <c r="Z21" s="303">
        <f>SUM(Z18:Z19)</f>
        <v>300000</v>
      </c>
      <c r="AA21" s="303">
        <f>AA18+AA19+AA20</f>
        <v>150000</v>
      </c>
      <c r="AB21" s="303">
        <f>AB20</f>
        <v>99352</v>
      </c>
      <c r="AC21" s="307">
        <f>U21+X21+Y21+Z21+AA21+AB21+V21+W21</f>
        <v>8186529</v>
      </c>
    </row>
    <row r="22" spans="1:29" ht="15">
      <c r="A22" s="252"/>
      <c r="B22" s="253"/>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row>
    <row r="23" spans="4:34" s="255" customFormat="1" ht="18">
      <c r="D23" s="112"/>
      <c r="E23" s="112"/>
      <c r="F23" s="112"/>
      <c r="G23" s="112"/>
      <c r="H23" s="112"/>
      <c r="I23" s="112"/>
      <c r="J23" s="112"/>
      <c r="K23" s="112"/>
      <c r="L23" s="112"/>
      <c r="M23" s="112"/>
      <c r="N23" s="112"/>
      <c r="O23" s="112"/>
      <c r="P23" s="112"/>
      <c r="Q23" s="112"/>
      <c r="R23" s="112"/>
      <c r="AA23" s="256"/>
      <c r="AC23" s="230"/>
      <c r="AD23" s="230"/>
      <c r="AE23" s="230"/>
      <c r="AF23" s="230"/>
      <c r="AG23" s="230"/>
      <c r="AH23" s="230"/>
    </row>
    <row r="24" spans="1:34" s="255" customFormat="1" ht="18">
      <c r="A24" s="230"/>
      <c r="B24" s="230"/>
      <c r="C24" s="230"/>
      <c r="D24" s="229"/>
      <c r="E24" s="229"/>
      <c r="F24" s="229"/>
      <c r="G24" s="229"/>
      <c r="H24" s="229"/>
      <c r="I24" s="229"/>
      <c r="J24" s="229"/>
      <c r="K24" s="229"/>
      <c r="L24" s="229"/>
      <c r="M24" s="229"/>
      <c r="N24" s="229"/>
      <c r="O24" s="256" t="s">
        <v>350</v>
      </c>
      <c r="P24" s="229"/>
      <c r="R24" s="229"/>
      <c r="S24" s="229"/>
      <c r="T24" s="229"/>
      <c r="Y24" s="230"/>
      <c r="Z24" s="230"/>
      <c r="AA24" s="230"/>
      <c r="AB24" s="256" t="s">
        <v>351</v>
      </c>
      <c r="AC24" s="230"/>
      <c r="AD24" s="230"/>
      <c r="AE24" s="230"/>
      <c r="AF24" s="230"/>
      <c r="AG24" s="230"/>
      <c r="AH24" s="230"/>
    </row>
    <row r="25" spans="1:34" s="255" customFormat="1" ht="12.75">
      <c r="A25" s="230"/>
      <c r="B25" s="230"/>
      <c r="C25" s="230"/>
      <c r="D25" s="229"/>
      <c r="E25" s="229"/>
      <c r="F25" s="229"/>
      <c r="G25" s="229"/>
      <c r="H25" s="229"/>
      <c r="I25" s="229"/>
      <c r="J25" s="229"/>
      <c r="K25" s="229"/>
      <c r="L25" s="229"/>
      <c r="M25" s="229"/>
      <c r="N25" s="229"/>
      <c r="O25" s="229"/>
      <c r="P25" s="229"/>
      <c r="Q25" s="229"/>
      <c r="R25" s="229"/>
      <c r="S25" s="257"/>
      <c r="T25" s="257"/>
      <c r="U25" s="257"/>
      <c r="V25" s="257"/>
      <c r="W25" s="257"/>
      <c r="X25" s="230"/>
      <c r="Y25" s="230"/>
      <c r="Z25" s="230"/>
      <c r="AA25" s="230"/>
      <c r="AB25" s="230"/>
      <c r="AC25" s="230"/>
      <c r="AD25" s="230"/>
      <c r="AE25" s="230"/>
      <c r="AF25" s="230"/>
      <c r="AG25" s="230"/>
      <c r="AH25" s="230"/>
    </row>
    <row r="26" spans="1:34" s="255" customFormat="1" ht="12.75">
      <c r="A26" s="230"/>
      <c r="B26" s="230"/>
      <c r="C26" s="230"/>
      <c r="D26" s="229"/>
      <c r="E26" s="229"/>
      <c r="F26" s="229"/>
      <c r="G26" s="229"/>
      <c r="H26" s="229"/>
      <c r="I26" s="229"/>
      <c r="J26" s="229"/>
      <c r="K26" s="229"/>
      <c r="L26" s="229"/>
      <c r="M26" s="229"/>
      <c r="N26" s="229"/>
      <c r="O26" s="229"/>
      <c r="P26" s="229"/>
      <c r="Q26" s="229"/>
      <c r="R26" s="229"/>
      <c r="S26" s="229"/>
      <c r="T26" s="229"/>
      <c r="U26" s="229"/>
      <c r="V26" s="229"/>
      <c r="W26" s="229"/>
      <c r="X26" s="230"/>
      <c r="Y26" s="230"/>
      <c r="Z26" s="230"/>
      <c r="AA26" s="230"/>
      <c r="AB26" s="230"/>
      <c r="AC26" s="230"/>
      <c r="AD26" s="230"/>
      <c r="AE26" s="230"/>
      <c r="AF26" s="230"/>
      <c r="AG26" s="230"/>
      <c r="AH26" s="230"/>
    </row>
    <row r="29" ht="18">
      <c r="V29" s="256"/>
    </row>
    <row r="50" ht="44.25" customHeight="1"/>
    <row r="63" ht="45.75" customHeight="1"/>
  </sheetData>
  <sheetProtection/>
  <mergeCells count="47">
    <mergeCell ref="U8:AC8"/>
    <mergeCell ref="C9:C10"/>
    <mergeCell ref="T9:T15"/>
    <mergeCell ref="U9:AB9"/>
    <mergeCell ref="AC9:AC15"/>
    <mergeCell ref="U10:AB10"/>
    <mergeCell ref="D11:D15"/>
    <mergeCell ref="E11:E15"/>
    <mergeCell ref="F11:F15"/>
    <mergeCell ref="AA12:AA15"/>
    <mergeCell ref="Z12:Z14"/>
    <mergeCell ref="L14:L15"/>
    <mergeCell ref="V13:W13"/>
    <mergeCell ref="R14:R15"/>
    <mergeCell ref="J11:L13"/>
    <mergeCell ref="J14:J15"/>
    <mergeCell ref="M11:M14"/>
    <mergeCell ref="N11:N15"/>
    <mergeCell ref="AB12:AB15"/>
    <mergeCell ref="O13:R13"/>
    <mergeCell ref="O14:O15"/>
    <mergeCell ref="P14:P15"/>
    <mergeCell ref="Q14:Q15"/>
    <mergeCell ref="V14:V15"/>
    <mergeCell ref="W14:W15"/>
    <mergeCell ref="V11:W12"/>
    <mergeCell ref="X12:X15"/>
    <mergeCell ref="Y12:Y15"/>
    <mergeCell ref="X11:AB11"/>
    <mergeCell ref="A6:N6"/>
    <mergeCell ref="C8:N8"/>
    <mergeCell ref="D9:N9"/>
    <mergeCell ref="D10:N10"/>
    <mergeCell ref="O9:S9"/>
    <mergeCell ref="O8:T8"/>
    <mergeCell ref="O11:S11"/>
    <mergeCell ref="U11:U15"/>
    <mergeCell ref="K14:K15"/>
    <mergeCell ref="O10:S10"/>
    <mergeCell ref="A8:A15"/>
    <mergeCell ref="B8:B15"/>
    <mergeCell ref="H11:H14"/>
    <mergeCell ref="C12:C15"/>
    <mergeCell ref="O12:R12"/>
    <mergeCell ref="S12:S15"/>
    <mergeCell ref="G11:G15"/>
    <mergeCell ref="I11:I15"/>
  </mergeCells>
  <printOptions/>
  <pageMargins left="0.7086614173228347" right="0.31496062992125984" top="0.35433070866141736" bottom="0.7480314960629921" header="0.31496062992125984" footer="0.31496062992125984"/>
  <pageSetup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J149"/>
  <sheetViews>
    <sheetView tabSelected="1" view="pageBreakPreview" zoomScaleSheetLayoutView="100" zoomScalePageLayoutView="0" workbookViewId="0" topLeftCell="F1">
      <selection activeCell="G1" sqref="G1:H1"/>
    </sheetView>
  </sheetViews>
  <sheetFormatPr defaultColWidth="9.16015625" defaultRowHeight="12.75"/>
  <cols>
    <col min="1" max="1" width="18.16015625" style="1" customWidth="1"/>
    <col min="2" max="2" width="17.66015625" style="118" customWidth="1"/>
    <col min="3" max="3" width="20.83203125" style="118" customWidth="1"/>
    <col min="4" max="4" width="50.16015625" style="119" customWidth="1"/>
    <col min="5" max="5" width="75" style="119" customWidth="1"/>
    <col min="6" max="6" width="32" style="119" customWidth="1"/>
    <col min="7" max="7" width="16.83203125" style="1" customWidth="1"/>
    <col min="8" max="8" width="15.83203125" style="1" customWidth="1"/>
    <col min="9" max="9" width="16.16015625" style="1" customWidth="1"/>
    <col min="10" max="10" width="16" style="1" customWidth="1"/>
    <col min="11" max="16384" width="9.16015625" style="2" customWidth="1"/>
  </cols>
  <sheetData>
    <row r="1" spans="7:10" ht="61.5" customHeight="1">
      <c r="G1" s="399" t="s">
        <v>207</v>
      </c>
      <c r="H1" s="399"/>
      <c r="I1" s="9"/>
      <c r="J1" s="9"/>
    </row>
    <row r="2" spans="1:10" ht="21.75" customHeight="1">
      <c r="A2" s="439" t="s">
        <v>138</v>
      </c>
      <c r="B2" s="440"/>
      <c r="C2" s="440"/>
      <c r="D2" s="440"/>
      <c r="E2" s="440"/>
      <c r="F2" s="440"/>
      <c r="G2" s="440"/>
      <c r="H2" s="440"/>
      <c r="I2" s="440"/>
      <c r="J2" s="440"/>
    </row>
    <row r="3" spans="1:10" ht="17.25" customHeight="1" thickBot="1">
      <c r="A3" s="120"/>
      <c r="B3" s="121"/>
      <c r="C3" s="122"/>
      <c r="D3" s="123"/>
      <c r="E3" s="123"/>
      <c r="F3" s="123"/>
      <c r="G3" s="122"/>
      <c r="H3" s="124"/>
      <c r="I3" s="124"/>
      <c r="J3" s="125" t="s">
        <v>356</v>
      </c>
    </row>
    <row r="4" spans="1:10" ht="51" customHeight="1">
      <c r="A4" s="441" t="s">
        <v>368</v>
      </c>
      <c r="B4" s="443" t="s">
        <v>369</v>
      </c>
      <c r="C4" s="443" t="s">
        <v>370</v>
      </c>
      <c r="D4" s="446" t="s">
        <v>371</v>
      </c>
      <c r="E4" s="446" t="s">
        <v>139</v>
      </c>
      <c r="F4" s="446" t="s">
        <v>140</v>
      </c>
      <c r="G4" s="443" t="s">
        <v>254</v>
      </c>
      <c r="H4" s="443" t="s">
        <v>252</v>
      </c>
      <c r="I4" s="450" t="s">
        <v>253</v>
      </c>
      <c r="J4" s="451"/>
    </row>
    <row r="5" spans="1:10" ht="74.25" customHeight="1">
      <c r="A5" s="442"/>
      <c r="B5" s="444"/>
      <c r="C5" s="445"/>
      <c r="D5" s="444"/>
      <c r="E5" s="447"/>
      <c r="F5" s="447"/>
      <c r="G5" s="445"/>
      <c r="H5" s="445"/>
      <c r="I5" s="129" t="s">
        <v>255</v>
      </c>
      <c r="J5" s="309" t="s">
        <v>256</v>
      </c>
    </row>
    <row r="6" spans="1:10" ht="16.5">
      <c r="A6" s="308">
        <v>1</v>
      </c>
      <c r="B6" s="126">
        <v>2</v>
      </c>
      <c r="C6" s="127">
        <v>3</v>
      </c>
      <c r="D6" s="126">
        <v>4</v>
      </c>
      <c r="E6" s="128">
        <v>5</v>
      </c>
      <c r="F6" s="128">
        <v>6</v>
      </c>
      <c r="G6" s="127">
        <v>7</v>
      </c>
      <c r="H6" s="127">
        <v>8</v>
      </c>
      <c r="I6" s="127">
        <v>9</v>
      </c>
      <c r="J6" s="310">
        <v>10</v>
      </c>
    </row>
    <row r="7" spans="1:10" ht="34.5" customHeight="1">
      <c r="A7" s="311" t="s">
        <v>379</v>
      </c>
      <c r="B7" s="131"/>
      <c r="C7" s="132"/>
      <c r="D7" s="133" t="s">
        <v>380</v>
      </c>
      <c r="E7" s="134"/>
      <c r="F7" s="134"/>
      <c r="G7" s="135">
        <f>G8</f>
        <v>78842325</v>
      </c>
      <c r="H7" s="135">
        <f>H8</f>
        <v>54655914</v>
      </c>
      <c r="I7" s="135">
        <f>I8</f>
        <v>24186411</v>
      </c>
      <c r="J7" s="312">
        <f>J8</f>
        <v>20784753</v>
      </c>
    </row>
    <row r="8" spans="1:10" ht="34.5" customHeight="1">
      <c r="A8" s="311" t="s">
        <v>381</v>
      </c>
      <c r="B8" s="131"/>
      <c r="C8" s="132"/>
      <c r="D8" s="133" t="s">
        <v>380</v>
      </c>
      <c r="E8" s="134"/>
      <c r="F8" s="134"/>
      <c r="G8" s="135">
        <f>H8+I8</f>
        <v>78842325</v>
      </c>
      <c r="H8" s="135">
        <f>SUM(H9:H57)</f>
        <v>54655914</v>
      </c>
      <c r="I8" s="135">
        <f>SUM(I9:I57)</f>
        <v>24186411</v>
      </c>
      <c r="J8" s="312">
        <f>SUM(J9:J57)</f>
        <v>20784753</v>
      </c>
    </row>
    <row r="9" spans="1:10" ht="68.25" customHeight="1">
      <c r="A9" s="433" t="s">
        <v>382</v>
      </c>
      <c r="B9" s="435" t="s">
        <v>383</v>
      </c>
      <c r="C9" s="437" t="s">
        <v>384</v>
      </c>
      <c r="D9" s="448" t="s">
        <v>141</v>
      </c>
      <c r="E9" s="139" t="s">
        <v>142</v>
      </c>
      <c r="F9" s="140" t="s">
        <v>330</v>
      </c>
      <c r="G9" s="141">
        <f>H9+I9</f>
        <v>262063</v>
      </c>
      <c r="H9" s="141">
        <f>91842</f>
        <v>91842</v>
      </c>
      <c r="I9" s="141">
        <f>J9</f>
        <v>170221</v>
      </c>
      <c r="J9" s="314">
        <f>106581+16000+47640</f>
        <v>170221</v>
      </c>
    </row>
    <row r="10" spans="1:10" ht="73.5" customHeight="1">
      <c r="A10" s="434"/>
      <c r="B10" s="436"/>
      <c r="C10" s="438"/>
      <c r="D10" s="449"/>
      <c r="E10" s="143" t="s">
        <v>143</v>
      </c>
      <c r="F10" s="140" t="s">
        <v>333</v>
      </c>
      <c r="G10" s="141">
        <f>I10+H10</f>
        <v>200000</v>
      </c>
      <c r="H10" s="141"/>
      <c r="I10" s="141">
        <f>J10</f>
        <v>200000</v>
      </c>
      <c r="J10" s="314">
        <v>200000</v>
      </c>
    </row>
    <row r="11" spans="1:10" ht="67.5" customHeight="1">
      <c r="A11" s="433" t="s">
        <v>389</v>
      </c>
      <c r="B11" s="435" t="s">
        <v>390</v>
      </c>
      <c r="C11" s="437" t="s">
        <v>391</v>
      </c>
      <c r="D11" s="448" t="s">
        <v>144</v>
      </c>
      <c r="E11" s="144" t="s">
        <v>145</v>
      </c>
      <c r="F11" s="144" t="s">
        <v>146</v>
      </c>
      <c r="G11" s="145">
        <f aca="true" t="shared" si="0" ref="G11:G44">H11+I11</f>
        <v>741356</v>
      </c>
      <c r="H11" s="145">
        <v>691356</v>
      </c>
      <c r="I11" s="145">
        <v>50000</v>
      </c>
      <c r="J11" s="312"/>
    </row>
    <row r="12" spans="1:10" ht="69.75" customHeight="1">
      <c r="A12" s="434"/>
      <c r="B12" s="436"/>
      <c r="C12" s="438"/>
      <c r="D12" s="449"/>
      <c r="E12" s="143" t="s">
        <v>143</v>
      </c>
      <c r="F12" s="140" t="s">
        <v>333</v>
      </c>
      <c r="G12" s="145">
        <f t="shared" si="0"/>
        <v>300000</v>
      </c>
      <c r="H12" s="145"/>
      <c r="I12" s="145">
        <f>J12</f>
        <v>300000</v>
      </c>
      <c r="J12" s="315">
        <v>300000</v>
      </c>
    </row>
    <row r="13" spans="1:10" ht="66" customHeight="1">
      <c r="A13" s="316" t="s">
        <v>394</v>
      </c>
      <c r="B13" s="147" t="s">
        <v>395</v>
      </c>
      <c r="C13" s="132" t="s">
        <v>396</v>
      </c>
      <c r="D13" s="144" t="s">
        <v>397</v>
      </c>
      <c r="E13" s="143" t="s">
        <v>147</v>
      </c>
      <c r="F13" s="144" t="s">
        <v>148</v>
      </c>
      <c r="G13" s="141">
        <f t="shared" si="0"/>
        <v>16576544</v>
      </c>
      <c r="H13" s="141">
        <f>11676066+339000+51430</f>
        <v>12066496</v>
      </c>
      <c r="I13" s="141">
        <f>2648064+J13</f>
        <v>4510048</v>
      </c>
      <c r="J13" s="314">
        <f>1579984+168000+114000</f>
        <v>1861984</v>
      </c>
    </row>
    <row r="14" spans="1:10" ht="64.5" customHeight="1">
      <c r="A14" s="452" t="s">
        <v>410</v>
      </c>
      <c r="B14" s="447">
        <v>2152</v>
      </c>
      <c r="C14" s="453" t="s">
        <v>404</v>
      </c>
      <c r="D14" s="454" t="s">
        <v>412</v>
      </c>
      <c r="E14" s="143" t="s">
        <v>414</v>
      </c>
      <c r="F14" s="143" t="s">
        <v>334</v>
      </c>
      <c r="G14" s="141">
        <f t="shared" si="0"/>
        <v>199000</v>
      </c>
      <c r="H14" s="141">
        <v>199000</v>
      </c>
      <c r="I14" s="141"/>
      <c r="J14" s="317"/>
    </row>
    <row r="15" spans="1:10" ht="67.5" customHeight="1">
      <c r="A15" s="452"/>
      <c r="B15" s="447"/>
      <c r="C15" s="453"/>
      <c r="D15" s="454"/>
      <c r="E15" s="143" t="s">
        <v>149</v>
      </c>
      <c r="F15" s="143" t="s">
        <v>150</v>
      </c>
      <c r="G15" s="141">
        <f t="shared" si="0"/>
        <v>199000</v>
      </c>
      <c r="H15" s="141">
        <v>199000</v>
      </c>
      <c r="I15" s="141"/>
      <c r="J15" s="317"/>
    </row>
    <row r="16" spans="1:10" ht="67.5" customHeight="1">
      <c r="A16" s="452"/>
      <c r="B16" s="447"/>
      <c r="C16" s="453"/>
      <c r="D16" s="454"/>
      <c r="E16" s="143" t="s">
        <v>413</v>
      </c>
      <c r="F16" s="143" t="s">
        <v>248</v>
      </c>
      <c r="G16" s="141">
        <f>H16+I16</f>
        <v>301860</v>
      </c>
      <c r="H16" s="141">
        <v>209404</v>
      </c>
      <c r="I16" s="141">
        <f>J16</f>
        <v>92456</v>
      </c>
      <c r="J16" s="314">
        <v>92456</v>
      </c>
    </row>
    <row r="17" spans="1:10" ht="66.75" customHeight="1">
      <c r="A17" s="452"/>
      <c r="B17" s="447"/>
      <c r="C17" s="453"/>
      <c r="D17" s="454"/>
      <c r="E17" s="143" t="s">
        <v>147</v>
      </c>
      <c r="F17" s="144" t="s">
        <v>148</v>
      </c>
      <c r="G17" s="141">
        <f t="shared" si="0"/>
        <v>43078</v>
      </c>
      <c r="H17" s="141"/>
      <c r="I17" s="141">
        <f>J17</f>
        <v>43078</v>
      </c>
      <c r="J17" s="314">
        <v>43078</v>
      </c>
    </row>
    <row r="18" spans="1:10" s="117" customFormat="1" ht="71.25" customHeight="1">
      <c r="A18" s="316" t="s">
        <v>420</v>
      </c>
      <c r="B18" s="149">
        <v>3112</v>
      </c>
      <c r="C18" s="132" t="s">
        <v>422</v>
      </c>
      <c r="D18" s="144" t="s">
        <v>423</v>
      </c>
      <c r="E18" s="140" t="s">
        <v>151</v>
      </c>
      <c r="F18" s="140" t="s">
        <v>152</v>
      </c>
      <c r="G18" s="145">
        <f t="shared" si="0"/>
        <v>3000</v>
      </c>
      <c r="H18" s="145">
        <v>3000</v>
      </c>
      <c r="I18" s="145"/>
      <c r="J18" s="312"/>
    </row>
    <row r="19" spans="1:10" ht="75" customHeight="1">
      <c r="A19" s="316" t="s">
        <v>427</v>
      </c>
      <c r="B19" s="146" t="s">
        <v>428</v>
      </c>
      <c r="C19" s="146" t="s">
        <v>429</v>
      </c>
      <c r="D19" s="144" t="s">
        <v>430</v>
      </c>
      <c r="E19" s="140" t="s">
        <v>153</v>
      </c>
      <c r="F19" s="143" t="s">
        <v>150</v>
      </c>
      <c r="G19" s="145">
        <f t="shared" si="0"/>
        <v>102000</v>
      </c>
      <c r="H19" s="145">
        <f>96000+6000</f>
        <v>102000</v>
      </c>
      <c r="I19" s="145"/>
      <c r="J19" s="312"/>
    </row>
    <row r="20" spans="1:10" ht="61.5" customHeight="1">
      <c r="A20" s="316" t="s">
        <v>259</v>
      </c>
      <c r="B20" s="146" t="s">
        <v>260</v>
      </c>
      <c r="C20" s="146" t="s">
        <v>261</v>
      </c>
      <c r="D20" s="144" t="s">
        <v>263</v>
      </c>
      <c r="E20" s="227" t="s">
        <v>264</v>
      </c>
      <c r="F20" s="143" t="s">
        <v>265</v>
      </c>
      <c r="G20" s="145">
        <f>H20+I20</f>
        <v>14000</v>
      </c>
      <c r="H20" s="145">
        <v>14000</v>
      </c>
      <c r="I20" s="145"/>
      <c r="J20" s="312"/>
    </row>
    <row r="21" spans="1:10" s="117" customFormat="1" ht="64.5" customHeight="1">
      <c r="A21" s="316" t="s">
        <v>434</v>
      </c>
      <c r="B21" s="146" t="s">
        <v>435</v>
      </c>
      <c r="C21" s="146" t="s">
        <v>436</v>
      </c>
      <c r="D21" s="144" t="s">
        <v>154</v>
      </c>
      <c r="E21" s="150" t="s">
        <v>153</v>
      </c>
      <c r="F21" s="226" t="s">
        <v>150</v>
      </c>
      <c r="G21" s="145">
        <f t="shared" si="0"/>
        <v>436000</v>
      </c>
      <c r="H21" s="145">
        <v>436000</v>
      </c>
      <c r="I21" s="135"/>
      <c r="J21" s="312"/>
    </row>
    <row r="22" spans="1:10" ht="49.5">
      <c r="A22" s="433" t="s">
        <v>438</v>
      </c>
      <c r="B22" s="457" t="s">
        <v>439</v>
      </c>
      <c r="C22" s="457" t="s">
        <v>440</v>
      </c>
      <c r="D22" s="455" t="s">
        <v>441</v>
      </c>
      <c r="E22" s="143" t="s">
        <v>143</v>
      </c>
      <c r="F22" s="140" t="s">
        <v>333</v>
      </c>
      <c r="G22" s="145">
        <f t="shared" si="0"/>
        <v>1224559</v>
      </c>
      <c r="H22" s="145"/>
      <c r="I22" s="145">
        <f>J22</f>
        <v>1224559</v>
      </c>
      <c r="J22" s="315">
        <f>932088+292471</f>
        <v>1224559</v>
      </c>
    </row>
    <row r="23" spans="1:10" ht="49.5">
      <c r="A23" s="498"/>
      <c r="B23" s="499"/>
      <c r="C23" s="499"/>
      <c r="D23" s="482"/>
      <c r="E23" s="139" t="s">
        <v>155</v>
      </c>
      <c r="F23" s="143" t="s">
        <v>331</v>
      </c>
      <c r="G23" s="145">
        <f t="shared" si="0"/>
        <v>1162520</v>
      </c>
      <c r="H23" s="145">
        <f>1162520</f>
        <v>1162520</v>
      </c>
      <c r="I23" s="145"/>
      <c r="J23" s="315"/>
    </row>
    <row r="24" spans="1:10" ht="49.5">
      <c r="A24" s="433" t="s">
        <v>442</v>
      </c>
      <c r="B24" s="457" t="s">
        <v>443</v>
      </c>
      <c r="C24" s="457" t="s">
        <v>440</v>
      </c>
      <c r="D24" s="455" t="s">
        <v>444</v>
      </c>
      <c r="E24" s="143" t="s">
        <v>143</v>
      </c>
      <c r="F24" s="140" t="s">
        <v>333</v>
      </c>
      <c r="G24" s="145">
        <f>H24+I24</f>
        <v>98730</v>
      </c>
      <c r="H24" s="145"/>
      <c r="I24" s="145">
        <f>J24</f>
        <v>98730</v>
      </c>
      <c r="J24" s="315">
        <v>98730</v>
      </c>
    </row>
    <row r="25" spans="1:10" ht="77.25" customHeight="1">
      <c r="A25" s="434"/>
      <c r="B25" s="436"/>
      <c r="C25" s="436"/>
      <c r="D25" s="456"/>
      <c r="E25" s="139" t="s">
        <v>155</v>
      </c>
      <c r="F25" s="143" t="s">
        <v>331</v>
      </c>
      <c r="G25" s="145">
        <f>H25+I25</f>
        <v>2239803</v>
      </c>
      <c r="H25" s="145">
        <v>1929703</v>
      </c>
      <c r="I25" s="145">
        <f>J25</f>
        <v>310100</v>
      </c>
      <c r="J25" s="315">
        <v>310100</v>
      </c>
    </row>
    <row r="26" spans="1:10" ht="66.75" customHeight="1">
      <c r="A26" s="316" t="s">
        <v>445</v>
      </c>
      <c r="B26" s="146" t="s">
        <v>446</v>
      </c>
      <c r="C26" s="146" t="s">
        <v>440</v>
      </c>
      <c r="D26" s="144" t="s">
        <v>447</v>
      </c>
      <c r="E26" s="139" t="s">
        <v>155</v>
      </c>
      <c r="F26" s="143" t="s">
        <v>331</v>
      </c>
      <c r="G26" s="145">
        <f>H26+I26</f>
        <v>735998</v>
      </c>
      <c r="H26" s="145">
        <f>467493+268505</f>
        <v>735998</v>
      </c>
      <c r="I26" s="225"/>
      <c r="J26" s="312"/>
    </row>
    <row r="27" spans="1:10" ht="67.5" customHeight="1">
      <c r="A27" s="316" t="s">
        <v>448</v>
      </c>
      <c r="B27" s="146" t="s">
        <v>449</v>
      </c>
      <c r="C27" s="146" t="s">
        <v>440</v>
      </c>
      <c r="D27" s="144" t="s">
        <v>450</v>
      </c>
      <c r="E27" s="140" t="s">
        <v>156</v>
      </c>
      <c r="F27" s="140" t="s">
        <v>157</v>
      </c>
      <c r="G27" s="145">
        <f t="shared" si="0"/>
        <v>531203</v>
      </c>
      <c r="H27" s="145"/>
      <c r="I27" s="145">
        <f>J27</f>
        <v>531203</v>
      </c>
      <c r="J27" s="315">
        <f>131203+400000</f>
        <v>531203</v>
      </c>
    </row>
    <row r="28" spans="1:10" ht="68.25" customHeight="1">
      <c r="A28" s="313" t="s">
        <v>451</v>
      </c>
      <c r="B28" s="136" t="s">
        <v>452</v>
      </c>
      <c r="C28" s="136" t="s">
        <v>440</v>
      </c>
      <c r="D28" s="152" t="s">
        <v>158</v>
      </c>
      <c r="E28" s="140" t="s">
        <v>159</v>
      </c>
      <c r="F28" s="140" t="s">
        <v>335</v>
      </c>
      <c r="G28" s="145">
        <f t="shared" si="0"/>
        <v>1200000</v>
      </c>
      <c r="H28" s="145">
        <f>800000+400000</f>
        <v>1200000</v>
      </c>
      <c r="I28" s="145"/>
      <c r="J28" s="312"/>
    </row>
    <row r="29" spans="1:10" ht="63.75" customHeight="1">
      <c r="A29" s="316" t="s">
        <v>454</v>
      </c>
      <c r="B29" s="146" t="s">
        <v>455</v>
      </c>
      <c r="C29" s="146" t="s">
        <v>440</v>
      </c>
      <c r="D29" s="144" t="s">
        <v>456</v>
      </c>
      <c r="E29" s="139" t="s">
        <v>155</v>
      </c>
      <c r="F29" s="143" t="s">
        <v>331</v>
      </c>
      <c r="G29" s="145">
        <f t="shared" si="0"/>
        <v>900000</v>
      </c>
      <c r="H29" s="145">
        <v>900000</v>
      </c>
      <c r="I29" s="145"/>
      <c r="J29" s="312"/>
    </row>
    <row r="30" spans="1:10" ht="69" customHeight="1">
      <c r="A30" s="433" t="s">
        <v>457</v>
      </c>
      <c r="B30" s="437" t="s">
        <v>458</v>
      </c>
      <c r="C30" s="437" t="s">
        <v>440</v>
      </c>
      <c r="D30" s="455" t="s">
        <v>459</v>
      </c>
      <c r="E30" s="140" t="s">
        <v>159</v>
      </c>
      <c r="F30" s="140" t="s">
        <v>335</v>
      </c>
      <c r="G30" s="145">
        <f t="shared" si="0"/>
        <v>21075913</v>
      </c>
      <c r="H30" s="145">
        <f>18386200+420000+1500000+195000+150000+250000+114713</f>
        <v>21015913</v>
      </c>
      <c r="I30" s="145">
        <f>J30</f>
        <v>60000</v>
      </c>
      <c r="J30" s="315">
        <f>60000</f>
        <v>60000</v>
      </c>
    </row>
    <row r="31" spans="1:10" ht="69.75" customHeight="1">
      <c r="A31" s="434"/>
      <c r="B31" s="438"/>
      <c r="C31" s="438"/>
      <c r="D31" s="456"/>
      <c r="E31" s="143" t="s">
        <v>143</v>
      </c>
      <c r="F31" s="140" t="s">
        <v>333</v>
      </c>
      <c r="G31" s="145">
        <f>H31+I31</f>
        <v>180000</v>
      </c>
      <c r="H31" s="145"/>
      <c r="I31" s="145">
        <f>J31</f>
        <v>180000</v>
      </c>
      <c r="J31" s="315">
        <v>180000</v>
      </c>
    </row>
    <row r="32" spans="1:10" ht="68.25" customHeight="1">
      <c r="A32" s="433" t="s">
        <v>466</v>
      </c>
      <c r="B32" s="457" t="s">
        <v>467</v>
      </c>
      <c r="C32" s="457" t="s">
        <v>468</v>
      </c>
      <c r="D32" s="458" t="s">
        <v>469</v>
      </c>
      <c r="E32" s="140" t="s">
        <v>149</v>
      </c>
      <c r="F32" s="143" t="s">
        <v>150</v>
      </c>
      <c r="G32" s="145">
        <f t="shared" si="0"/>
        <v>30000</v>
      </c>
      <c r="H32" s="145">
        <v>30000</v>
      </c>
      <c r="I32" s="145"/>
      <c r="J32" s="312"/>
    </row>
    <row r="33" spans="1:10" ht="63.75" customHeight="1">
      <c r="A33" s="434"/>
      <c r="B33" s="436"/>
      <c r="C33" s="436"/>
      <c r="D33" s="456"/>
      <c r="E33" s="140" t="s">
        <v>159</v>
      </c>
      <c r="F33" s="140" t="s">
        <v>335</v>
      </c>
      <c r="G33" s="145">
        <f t="shared" si="0"/>
        <v>190000</v>
      </c>
      <c r="H33" s="145">
        <v>190000</v>
      </c>
      <c r="I33" s="145"/>
      <c r="J33" s="312"/>
    </row>
    <row r="34" spans="1:10" ht="74.25" customHeight="1">
      <c r="A34" s="316" t="s">
        <v>470</v>
      </c>
      <c r="B34" s="146" t="s">
        <v>471</v>
      </c>
      <c r="C34" s="146" t="s">
        <v>472</v>
      </c>
      <c r="D34" s="153" t="s">
        <v>160</v>
      </c>
      <c r="E34" s="140" t="s">
        <v>161</v>
      </c>
      <c r="F34" s="140" t="s">
        <v>336</v>
      </c>
      <c r="G34" s="145">
        <f t="shared" si="0"/>
        <v>142777</v>
      </c>
      <c r="H34" s="145">
        <f>100000+42777</f>
        <v>142777</v>
      </c>
      <c r="I34" s="145"/>
      <c r="J34" s="312"/>
    </row>
    <row r="35" spans="1:10" ht="74.25" customHeight="1">
      <c r="A35" s="316" t="s">
        <v>231</v>
      </c>
      <c r="B35" s="146" t="s">
        <v>232</v>
      </c>
      <c r="C35" s="41" t="s">
        <v>476</v>
      </c>
      <c r="D35" s="44" t="s">
        <v>233</v>
      </c>
      <c r="E35" s="143" t="s">
        <v>143</v>
      </c>
      <c r="F35" s="140" t="s">
        <v>333</v>
      </c>
      <c r="G35" s="145">
        <f>H35+I35</f>
        <v>206395</v>
      </c>
      <c r="H35" s="145"/>
      <c r="I35" s="145">
        <f>J35</f>
        <v>206395</v>
      </c>
      <c r="J35" s="315">
        <v>206395</v>
      </c>
    </row>
    <row r="36" spans="1:10" ht="74.25" customHeight="1">
      <c r="A36" s="316" t="s">
        <v>474</v>
      </c>
      <c r="B36" s="146" t="s">
        <v>475</v>
      </c>
      <c r="C36" s="146" t="s">
        <v>476</v>
      </c>
      <c r="D36" s="144" t="s">
        <v>477</v>
      </c>
      <c r="E36" s="143" t="s">
        <v>147</v>
      </c>
      <c r="F36" s="144" t="s">
        <v>148</v>
      </c>
      <c r="G36" s="145">
        <f t="shared" si="0"/>
        <v>41709</v>
      </c>
      <c r="H36" s="145"/>
      <c r="I36" s="145">
        <f>J36</f>
        <v>41709</v>
      </c>
      <c r="J36" s="315">
        <v>41709</v>
      </c>
    </row>
    <row r="37" spans="1:10" ht="76.5" customHeight="1">
      <c r="A37" s="316" t="s">
        <v>478</v>
      </c>
      <c r="B37" s="146" t="s">
        <v>479</v>
      </c>
      <c r="C37" s="146" t="s">
        <v>476</v>
      </c>
      <c r="D37" s="144" t="s">
        <v>135</v>
      </c>
      <c r="E37" s="467" t="s">
        <v>143</v>
      </c>
      <c r="F37" s="471" t="s">
        <v>333</v>
      </c>
      <c r="G37" s="145">
        <f t="shared" si="0"/>
        <v>2915049</v>
      </c>
      <c r="H37" s="145"/>
      <c r="I37" s="145">
        <f>J37</f>
        <v>2915049</v>
      </c>
      <c r="J37" s="315">
        <f>945049+1000000+470000+500000</f>
        <v>2915049</v>
      </c>
    </row>
    <row r="38" spans="1:10" ht="70.5" customHeight="1">
      <c r="A38" s="316" t="s">
        <v>480</v>
      </c>
      <c r="B38" s="146" t="s">
        <v>481</v>
      </c>
      <c r="C38" s="146" t="s">
        <v>482</v>
      </c>
      <c r="D38" s="139" t="s">
        <v>483</v>
      </c>
      <c r="E38" s="481"/>
      <c r="F38" s="481"/>
      <c r="G38" s="145">
        <f t="shared" si="0"/>
        <v>2850000</v>
      </c>
      <c r="H38" s="145"/>
      <c r="I38" s="145">
        <f>J38</f>
        <v>2850000</v>
      </c>
      <c r="J38" s="315">
        <f>1800000+1050000</f>
        <v>2850000</v>
      </c>
    </row>
    <row r="39" spans="1:10" s="265" customFormat="1" ht="74.25" customHeight="1" hidden="1">
      <c r="A39" s="316" t="s">
        <v>325</v>
      </c>
      <c r="B39" s="146" t="s">
        <v>235</v>
      </c>
      <c r="C39" s="146" t="s">
        <v>482</v>
      </c>
      <c r="D39" s="144" t="s">
        <v>236</v>
      </c>
      <c r="E39" s="143" t="s">
        <v>147</v>
      </c>
      <c r="F39" s="144" t="s">
        <v>148</v>
      </c>
      <c r="G39" s="145"/>
      <c r="H39" s="145"/>
      <c r="I39" s="145"/>
      <c r="J39" s="315"/>
    </row>
    <row r="40" spans="1:10" ht="72" customHeight="1">
      <c r="A40" s="316" t="s">
        <v>484</v>
      </c>
      <c r="B40" s="146" t="s">
        <v>485</v>
      </c>
      <c r="C40" s="146" t="s">
        <v>486</v>
      </c>
      <c r="D40" s="153" t="s">
        <v>487</v>
      </c>
      <c r="E40" s="139" t="s">
        <v>155</v>
      </c>
      <c r="F40" s="143" t="s">
        <v>331</v>
      </c>
      <c r="G40" s="145">
        <f t="shared" si="0"/>
        <v>500000</v>
      </c>
      <c r="H40" s="145">
        <v>500000</v>
      </c>
      <c r="I40" s="145"/>
      <c r="J40" s="312"/>
    </row>
    <row r="41" spans="1:10" ht="67.5" customHeight="1">
      <c r="A41" s="316" t="s">
        <v>488</v>
      </c>
      <c r="B41" s="146" t="s">
        <v>489</v>
      </c>
      <c r="C41" s="146" t="s">
        <v>490</v>
      </c>
      <c r="D41" s="144" t="s">
        <v>491</v>
      </c>
      <c r="E41" s="140" t="s">
        <v>159</v>
      </c>
      <c r="F41" s="140" t="s">
        <v>335</v>
      </c>
      <c r="G41" s="145">
        <f t="shared" si="0"/>
        <v>6033415</v>
      </c>
      <c r="H41" s="145">
        <v>5860000</v>
      </c>
      <c r="I41" s="145">
        <f>J41</f>
        <v>173415</v>
      </c>
      <c r="J41" s="315">
        <f>140000+17532+15883</f>
        <v>173415</v>
      </c>
    </row>
    <row r="42" spans="1:10" ht="49.5">
      <c r="A42" s="433" t="s">
        <v>496</v>
      </c>
      <c r="B42" s="457" t="s">
        <v>497</v>
      </c>
      <c r="C42" s="457" t="s">
        <v>482</v>
      </c>
      <c r="D42" s="448" t="s">
        <v>498</v>
      </c>
      <c r="E42" s="139" t="s">
        <v>155</v>
      </c>
      <c r="F42" s="143" t="s">
        <v>331</v>
      </c>
      <c r="G42" s="145">
        <f t="shared" si="0"/>
        <v>8626903</v>
      </c>
      <c r="H42" s="154"/>
      <c r="I42" s="154">
        <f>J42</f>
        <v>8626903</v>
      </c>
      <c r="J42" s="315">
        <f>2280000+1500000+4619880+91126+135897</f>
        <v>8626903</v>
      </c>
    </row>
    <row r="43" spans="1:10" ht="57" customHeight="1">
      <c r="A43" s="434"/>
      <c r="B43" s="436"/>
      <c r="C43" s="436"/>
      <c r="D43" s="449"/>
      <c r="E43" s="140" t="s">
        <v>162</v>
      </c>
      <c r="F43" s="140" t="s">
        <v>337</v>
      </c>
      <c r="G43" s="145">
        <f t="shared" si="0"/>
        <v>50000</v>
      </c>
      <c r="H43" s="154"/>
      <c r="I43" s="154">
        <f>J43</f>
        <v>50000</v>
      </c>
      <c r="J43" s="315">
        <v>50000</v>
      </c>
    </row>
    <row r="44" spans="1:10" ht="49.5">
      <c r="A44" s="316" t="s">
        <v>499</v>
      </c>
      <c r="B44" s="146" t="s">
        <v>500</v>
      </c>
      <c r="C44" s="146" t="s">
        <v>482</v>
      </c>
      <c r="D44" s="139" t="s">
        <v>501</v>
      </c>
      <c r="E44" s="139" t="s">
        <v>163</v>
      </c>
      <c r="F44" s="140" t="s">
        <v>330</v>
      </c>
      <c r="G44" s="145">
        <f t="shared" si="0"/>
        <v>25799</v>
      </c>
      <c r="H44" s="145">
        <v>25799</v>
      </c>
      <c r="I44" s="145"/>
      <c r="J44" s="312"/>
    </row>
    <row r="45" spans="1:10" ht="72" customHeight="1">
      <c r="A45" s="452" t="s">
        <v>505</v>
      </c>
      <c r="B45" s="464" t="s">
        <v>506</v>
      </c>
      <c r="C45" s="464" t="s">
        <v>482</v>
      </c>
      <c r="D45" s="465" t="s">
        <v>507</v>
      </c>
      <c r="E45" s="139" t="s">
        <v>249</v>
      </c>
      <c r="F45" s="140" t="s">
        <v>330</v>
      </c>
      <c r="G45" s="145">
        <f>H45+I45</f>
        <v>1871020</v>
      </c>
      <c r="H45" s="145">
        <f>14000+36000+28618+840000+28940+98700+38420+241209+20686+500000+24447</f>
        <v>1871020</v>
      </c>
      <c r="I45" s="145"/>
      <c r="J45" s="312"/>
    </row>
    <row r="46" spans="1:10" ht="58.5" customHeight="1">
      <c r="A46" s="452"/>
      <c r="B46" s="464"/>
      <c r="C46" s="464"/>
      <c r="D46" s="465"/>
      <c r="E46" s="355" t="s">
        <v>164</v>
      </c>
      <c r="F46" s="140" t="s">
        <v>338</v>
      </c>
      <c r="G46" s="145">
        <f>H46+I46</f>
        <v>6000</v>
      </c>
      <c r="H46" s="145">
        <v>6000</v>
      </c>
      <c r="I46" s="145"/>
      <c r="J46" s="312"/>
    </row>
    <row r="47" spans="1:10" ht="56.25" customHeight="1">
      <c r="A47" s="463"/>
      <c r="B47" s="447"/>
      <c r="C47" s="447"/>
      <c r="D47" s="466"/>
      <c r="E47" s="139" t="s">
        <v>41</v>
      </c>
      <c r="F47" s="140" t="s">
        <v>339</v>
      </c>
      <c r="G47" s="145">
        <f>H47+I47</f>
        <v>173432</v>
      </c>
      <c r="H47" s="145">
        <f>228432-55000</f>
        <v>173432</v>
      </c>
      <c r="I47" s="145"/>
      <c r="J47" s="312"/>
    </row>
    <row r="48" spans="1:10" ht="60.75" customHeight="1">
      <c r="A48" s="463"/>
      <c r="B48" s="447"/>
      <c r="C48" s="447"/>
      <c r="D48" s="466"/>
      <c r="E48" s="140" t="s">
        <v>162</v>
      </c>
      <c r="F48" s="140" t="s">
        <v>337</v>
      </c>
      <c r="G48" s="145">
        <f>H48+I48</f>
        <v>353322</v>
      </c>
      <c r="H48" s="145">
        <f>90000+141222+122100</f>
        <v>353322</v>
      </c>
      <c r="I48" s="145"/>
      <c r="J48" s="312"/>
    </row>
    <row r="49" spans="1:10" ht="65.25" customHeight="1">
      <c r="A49" s="463"/>
      <c r="B49" s="447"/>
      <c r="C49" s="447"/>
      <c r="D49" s="466"/>
      <c r="E49" s="143" t="s">
        <v>143</v>
      </c>
      <c r="F49" s="140" t="s">
        <v>333</v>
      </c>
      <c r="G49" s="145">
        <f aca="true" t="shared" si="1" ref="G49:G55">H49+I49</f>
        <v>848951</v>
      </c>
      <c r="H49" s="145"/>
      <c r="I49" s="145">
        <f>J49</f>
        <v>848951</v>
      </c>
      <c r="J49" s="315">
        <f>478951-180000+550000</f>
        <v>848951</v>
      </c>
    </row>
    <row r="50" spans="1:10" ht="69" customHeight="1">
      <c r="A50" s="463"/>
      <c r="B50" s="447"/>
      <c r="C50" s="447"/>
      <c r="D50" s="466"/>
      <c r="E50" s="143" t="s">
        <v>165</v>
      </c>
      <c r="F50" s="143" t="s">
        <v>340</v>
      </c>
      <c r="G50" s="145">
        <f t="shared" si="1"/>
        <v>200000</v>
      </c>
      <c r="H50" s="145">
        <v>200000</v>
      </c>
      <c r="I50" s="145"/>
      <c r="J50" s="312"/>
    </row>
    <row r="51" spans="1:10" ht="57" customHeight="1">
      <c r="A51" s="463"/>
      <c r="B51" s="447"/>
      <c r="C51" s="447"/>
      <c r="D51" s="466"/>
      <c r="E51" s="143" t="s">
        <v>166</v>
      </c>
      <c r="F51" s="140" t="s">
        <v>341</v>
      </c>
      <c r="G51" s="145">
        <f t="shared" si="1"/>
        <v>400000</v>
      </c>
      <c r="H51" s="145">
        <v>400000</v>
      </c>
      <c r="I51" s="145"/>
      <c r="J51" s="312"/>
    </row>
    <row r="52" spans="1:10" ht="72.75" customHeight="1">
      <c r="A52" s="463"/>
      <c r="B52" s="447"/>
      <c r="C52" s="447"/>
      <c r="D52" s="466"/>
      <c r="E52" s="139" t="s">
        <v>155</v>
      </c>
      <c r="F52" s="143" t="s">
        <v>331</v>
      </c>
      <c r="G52" s="145">
        <f t="shared" si="1"/>
        <v>350000</v>
      </c>
      <c r="H52" s="145">
        <v>350000</v>
      </c>
      <c r="I52" s="145"/>
      <c r="J52" s="312"/>
    </row>
    <row r="53" spans="1:10" ht="36.75" customHeight="1">
      <c r="A53" s="316" t="s">
        <v>505</v>
      </c>
      <c r="B53" s="128">
        <v>7693</v>
      </c>
      <c r="C53" s="146" t="s">
        <v>482</v>
      </c>
      <c r="D53" s="139" t="s">
        <v>507</v>
      </c>
      <c r="E53" s="455" t="s">
        <v>167</v>
      </c>
      <c r="F53" s="455" t="s">
        <v>332</v>
      </c>
      <c r="G53" s="145">
        <f t="shared" si="1"/>
        <v>160000</v>
      </c>
      <c r="H53" s="145">
        <v>160000</v>
      </c>
      <c r="I53" s="145"/>
      <c r="J53" s="312"/>
    </row>
    <row r="54" spans="1:10" ht="33">
      <c r="A54" s="316" t="s">
        <v>513</v>
      </c>
      <c r="B54" s="128">
        <v>8210</v>
      </c>
      <c r="C54" s="146" t="s">
        <v>515</v>
      </c>
      <c r="D54" s="139" t="s">
        <v>516</v>
      </c>
      <c r="E54" s="482"/>
      <c r="F54" s="482"/>
      <c r="G54" s="145">
        <f t="shared" si="1"/>
        <v>1724195</v>
      </c>
      <c r="H54" s="145">
        <v>1724195</v>
      </c>
      <c r="I54" s="145"/>
      <c r="J54" s="312"/>
    </row>
    <row r="55" spans="1:10" ht="49.5">
      <c r="A55" s="316" t="s">
        <v>517</v>
      </c>
      <c r="B55" s="146" t="s">
        <v>518</v>
      </c>
      <c r="C55" s="146" t="s">
        <v>519</v>
      </c>
      <c r="D55" s="144" t="s">
        <v>520</v>
      </c>
      <c r="E55" s="140" t="s">
        <v>168</v>
      </c>
      <c r="F55" s="140" t="s">
        <v>169</v>
      </c>
      <c r="G55" s="145">
        <f t="shared" si="1"/>
        <v>703594</v>
      </c>
      <c r="H55" s="145"/>
      <c r="I55" s="145">
        <f>124900+578694</f>
        <v>703594</v>
      </c>
      <c r="J55" s="312"/>
    </row>
    <row r="56" spans="1:10" s="117" customFormat="1" ht="80.25" customHeight="1">
      <c r="A56" s="313" t="s">
        <v>521</v>
      </c>
      <c r="B56" s="136" t="s">
        <v>522</v>
      </c>
      <c r="C56" s="136" t="s">
        <v>523</v>
      </c>
      <c r="D56" s="138" t="s">
        <v>524</v>
      </c>
      <c r="E56" s="139" t="s">
        <v>170</v>
      </c>
      <c r="F56" s="139" t="s">
        <v>171</v>
      </c>
      <c r="G56" s="145">
        <f>H56+I56</f>
        <v>678682</v>
      </c>
      <c r="H56" s="145">
        <v>678682</v>
      </c>
      <c r="I56" s="145"/>
      <c r="J56" s="312"/>
    </row>
    <row r="57" spans="1:10" ht="49.5" thickBot="1">
      <c r="A57" s="318" t="s">
        <v>525</v>
      </c>
      <c r="B57" s="155" t="s">
        <v>526</v>
      </c>
      <c r="C57" s="155" t="s">
        <v>523</v>
      </c>
      <c r="D57" s="156" t="s">
        <v>527</v>
      </c>
      <c r="E57" s="157" t="s">
        <v>163</v>
      </c>
      <c r="F57" s="158" t="s">
        <v>330</v>
      </c>
      <c r="G57" s="159">
        <f>H57+I57</f>
        <v>1034455</v>
      </c>
      <c r="H57" s="159">
        <f>764455+270000</f>
        <v>1034455</v>
      </c>
      <c r="I57" s="159"/>
      <c r="J57" s="319"/>
    </row>
    <row r="58" spans="1:10" ht="37.5" customHeight="1">
      <c r="A58" s="311" t="s">
        <v>528</v>
      </c>
      <c r="B58" s="146"/>
      <c r="C58" s="132"/>
      <c r="D58" s="133" t="s">
        <v>137</v>
      </c>
      <c r="E58" s="140"/>
      <c r="F58" s="160"/>
      <c r="G58" s="135">
        <f>G59</f>
        <v>7869400</v>
      </c>
      <c r="H58" s="135">
        <f>H59</f>
        <v>4180232</v>
      </c>
      <c r="I58" s="135">
        <f>I59</f>
        <v>3689168</v>
      </c>
      <c r="J58" s="312">
        <f>J59</f>
        <v>3689168</v>
      </c>
    </row>
    <row r="59" spans="1:10" ht="39" customHeight="1">
      <c r="A59" s="311" t="s">
        <v>530</v>
      </c>
      <c r="B59" s="146"/>
      <c r="C59" s="132"/>
      <c r="D59" s="133" t="s">
        <v>137</v>
      </c>
      <c r="E59" s="140"/>
      <c r="F59" s="140"/>
      <c r="G59" s="135">
        <f aca="true" t="shared" si="2" ref="G59:G64">H59+I59</f>
        <v>7869400</v>
      </c>
      <c r="H59" s="135">
        <f>SUM(H61:H74)</f>
        <v>4180232</v>
      </c>
      <c r="I59" s="135">
        <f>SUM(I61:I74)</f>
        <v>3689168</v>
      </c>
      <c r="J59" s="312">
        <f>SUM(J61:J74)</f>
        <v>3689168</v>
      </c>
    </row>
    <row r="60" spans="1:10" s="117" customFormat="1" ht="66" customHeight="1" hidden="1">
      <c r="A60" s="433" t="s">
        <v>534</v>
      </c>
      <c r="B60" s="457" t="s">
        <v>535</v>
      </c>
      <c r="C60" s="437" t="s">
        <v>536</v>
      </c>
      <c r="D60" s="448" t="s">
        <v>537</v>
      </c>
      <c r="E60" s="140" t="s">
        <v>172</v>
      </c>
      <c r="F60" s="140" t="s">
        <v>173</v>
      </c>
      <c r="G60" s="145">
        <f t="shared" si="2"/>
        <v>0</v>
      </c>
      <c r="H60" s="135"/>
      <c r="I60" s="135"/>
      <c r="J60" s="312"/>
    </row>
    <row r="61" spans="1:10" ht="66">
      <c r="A61" s="459"/>
      <c r="B61" s="460"/>
      <c r="C61" s="461"/>
      <c r="D61" s="462"/>
      <c r="E61" s="140" t="s">
        <v>174</v>
      </c>
      <c r="F61" s="140" t="s">
        <v>175</v>
      </c>
      <c r="G61" s="145">
        <f t="shared" si="2"/>
        <v>85088</v>
      </c>
      <c r="H61" s="145">
        <f>11390+19298+54400</f>
        <v>85088</v>
      </c>
      <c r="I61" s="145"/>
      <c r="J61" s="312"/>
    </row>
    <row r="62" spans="1:10" ht="49.5">
      <c r="A62" s="434"/>
      <c r="B62" s="436"/>
      <c r="C62" s="438"/>
      <c r="D62" s="449"/>
      <c r="E62" s="140" t="s">
        <v>172</v>
      </c>
      <c r="F62" s="140" t="s">
        <v>176</v>
      </c>
      <c r="G62" s="145">
        <f t="shared" si="2"/>
        <v>413740</v>
      </c>
      <c r="H62" s="145"/>
      <c r="I62" s="145">
        <f>J62</f>
        <v>413740</v>
      </c>
      <c r="J62" s="315">
        <v>413740</v>
      </c>
    </row>
    <row r="63" spans="1:10" ht="54" customHeight="1">
      <c r="A63" s="452" t="s">
        <v>538</v>
      </c>
      <c r="B63" s="464" t="s">
        <v>539</v>
      </c>
      <c r="C63" s="464" t="s">
        <v>540</v>
      </c>
      <c r="D63" s="465" t="s">
        <v>177</v>
      </c>
      <c r="E63" s="139" t="s">
        <v>178</v>
      </c>
      <c r="F63" s="139" t="s">
        <v>179</v>
      </c>
      <c r="G63" s="145">
        <f t="shared" si="2"/>
        <v>296730</v>
      </c>
      <c r="H63" s="126">
        <v>296730</v>
      </c>
      <c r="I63" s="126"/>
      <c r="J63" s="320"/>
    </row>
    <row r="64" spans="1:10" ht="74.25" customHeight="1">
      <c r="A64" s="469"/>
      <c r="B64" s="470"/>
      <c r="C64" s="470"/>
      <c r="D64" s="466"/>
      <c r="E64" s="140" t="s">
        <v>172</v>
      </c>
      <c r="F64" s="140" t="s">
        <v>176</v>
      </c>
      <c r="G64" s="145">
        <f t="shared" si="2"/>
        <v>3093266</v>
      </c>
      <c r="H64" s="161">
        <f>65536+211899+771744+57553+158388</f>
        <v>1265120</v>
      </c>
      <c r="I64" s="161">
        <f>J64</f>
        <v>1828146</v>
      </c>
      <c r="J64" s="321">
        <f>482930+120000+586260+153365+400000+85591</f>
        <v>1828146</v>
      </c>
    </row>
    <row r="65" spans="1:10" ht="66" customHeight="1">
      <c r="A65" s="469"/>
      <c r="B65" s="470"/>
      <c r="C65" s="470"/>
      <c r="D65" s="466"/>
      <c r="E65" s="140" t="s">
        <v>174</v>
      </c>
      <c r="F65" s="140" t="s">
        <v>175</v>
      </c>
      <c r="G65" s="145">
        <f>H65</f>
        <v>2158870</v>
      </c>
      <c r="H65" s="161">
        <f>14130+47645-3130-18000+40169+58244+1696191+323621</f>
        <v>2158870</v>
      </c>
      <c r="I65" s="161"/>
      <c r="J65" s="322"/>
    </row>
    <row r="66" spans="1:10" ht="72.75" customHeight="1">
      <c r="A66" s="323" t="s">
        <v>545</v>
      </c>
      <c r="B66" s="163" t="s">
        <v>436</v>
      </c>
      <c r="C66" s="163" t="s">
        <v>546</v>
      </c>
      <c r="D66" s="151" t="s">
        <v>547</v>
      </c>
      <c r="E66" s="140" t="s">
        <v>174</v>
      </c>
      <c r="F66" s="140" t="s">
        <v>175</v>
      </c>
      <c r="G66" s="164">
        <f>H66</f>
        <v>10392</v>
      </c>
      <c r="H66" s="165">
        <f>1392+9000</f>
        <v>10392</v>
      </c>
      <c r="I66" s="165"/>
      <c r="J66" s="324"/>
    </row>
    <row r="67" spans="1:10" ht="65.25" customHeight="1">
      <c r="A67" s="433" t="s">
        <v>555</v>
      </c>
      <c r="B67" s="457" t="s">
        <v>556</v>
      </c>
      <c r="C67" s="457" t="s">
        <v>550</v>
      </c>
      <c r="D67" s="455" t="s">
        <v>557</v>
      </c>
      <c r="E67" s="140" t="s">
        <v>172</v>
      </c>
      <c r="F67" s="140" t="s">
        <v>176</v>
      </c>
      <c r="G67" s="145">
        <f>H67+I67</f>
        <v>38200</v>
      </c>
      <c r="H67" s="161"/>
      <c r="I67" s="161">
        <f>J67</f>
        <v>38200</v>
      </c>
      <c r="J67" s="321">
        <v>38200</v>
      </c>
    </row>
    <row r="68" spans="1:10" ht="65.25" customHeight="1">
      <c r="A68" s="434"/>
      <c r="B68" s="436"/>
      <c r="C68" s="436"/>
      <c r="D68" s="456"/>
      <c r="E68" s="140" t="s">
        <v>180</v>
      </c>
      <c r="F68" s="160" t="s">
        <v>181</v>
      </c>
      <c r="G68" s="145">
        <f>H68</f>
        <v>204166</v>
      </c>
      <c r="H68" s="161">
        <v>204166</v>
      </c>
      <c r="I68" s="161"/>
      <c r="J68" s="322"/>
    </row>
    <row r="69" spans="1:10" ht="69" customHeight="1">
      <c r="A69" s="316" t="s">
        <v>559</v>
      </c>
      <c r="B69" s="146" t="s">
        <v>560</v>
      </c>
      <c r="C69" s="146" t="s">
        <v>550</v>
      </c>
      <c r="D69" s="166" t="s">
        <v>561</v>
      </c>
      <c r="E69" s="139" t="s">
        <v>142</v>
      </c>
      <c r="F69" s="140" t="s">
        <v>330</v>
      </c>
      <c r="G69" s="145">
        <f>H69+I69</f>
        <v>90200</v>
      </c>
      <c r="H69" s="161">
        <v>90200</v>
      </c>
      <c r="I69" s="161"/>
      <c r="J69" s="322"/>
    </row>
    <row r="70" spans="1:10" ht="65.25" customHeight="1">
      <c r="A70" s="433" t="s">
        <v>565</v>
      </c>
      <c r="B70" s="457" t="s">
        <v>566</v>
      </c>
      <c r="C70" s="457" t="s">
        <v>567</v>
      </c>
      <c r="D70" s="455" t="s">
        <v>568</v>
      </c>
      <c r="E70" s="140" t="s">
        <v>172</v>
      </c>
      <c r="F70" s="140" t="s">
        <v>176</v>
      </c>
      <c r="G70" s="145">
        <f>H70+I70</f>
        <v>60000</v>
      </c>
      <c r="H70" s="161">
        <v>60000</v>
      </c>
      <c r="I70" s="161"/>
      <c r="J70" s="322"/>
    </row>
    <row r="71" spans="1:10" ht="74.25" customHeight="1">
      <c r="A71" s="434"/>
      <c r="B71" s="436"/>
      <c r="C71" s="436"/>
      <c r="D71" s="456"/>
      <c r="E71" s="140" t="s">
        <v>182</v>
      </c>
      <c r="F71" s="140" t="s">
        <v>175</v>
      </c>
      <c r="G71" s="145">
        <f>H71</f>
        <v>9666</v>
      </c>
      <c r="H71" s="161">
        <f>3716+2600+3000+350</f>
        <v>9666</v>
      </c>
      <c r="I71" s="161"/>
      <c r="J71" s="322"/>
    </row>
    <row r="72" spans="1:10" ht="75" customHeight="1">
      <c r="A72" s="313" t="s">
        <v>575</v>
      </c>
      <c r="B72" s="136" t="s">
        <v>576</v>
      </c>
      <c r="C72" s="136" t="s">
        <v>476</v>
      </c>
      <c r="D72" s="214" t="s">
        <v>577</v>
      </c>
      <c r="E72" s="471" t="s">
        <v>172</v>
      </c>
      <c r="F72" s="471" t="s">
        <v>176</v>
      </c>
      <c r="G72" s="175">
        <f>H72+I72</f>
        <v>809077</v>
      </c>
      <c r="H72" s="184"/>
      <c r="I72" s="184">
        <f>J72</f>
        <v>809077</v>
      </c>
      <c r="J72" s="325">
        <f>720022+37820+51235</f>
        <v>809077</v>
      </c>
    </row>
    <row r="73" spans="1:10" ht="69" customHeight="1">
      <c r="A73" s="316" t="s">
        <v>237</v>
      </c>
      <c r="B73" s="146" t="s">
        <v>481</v>
      </c>
      <c r="C73" s="72" t="s">
        <v>482</v>
      </c>
      <c r="D73" s="144" t="s">
        <v>483</v>
      </c>
      <c r="E73" s="479"/>
      <c r="F73" s="479"/>
      <c r="G73" s="145">
        <f>H73+I73</f>
        <v>597771</v>
      </c>
      <c r="H73" s="161"/>
      <c r="I73" s="161">
        <f>J73</f>
        <v>597771</v>
      </c>
      <c r="J73" s="321">
        <v>597771</v>
      </c>
    </row>
    <row r="74" spans="1:10" ht="70.5" customHeight="1" thickBot="1">
      <c r="A74" s="318" t="s">
        <v>234</v>
      </c>
      <c r="B74" s="155" t="s">
        <v>235</v>
      </c>
      <c r="C74" s="59" t="s">
        <v>482</v>
      </c>
      <c r="D74" s="176" t="s">
        <v>236</v>
      </c>
      <c r="E74" s="480"/>
      <c r="F74" s="480"/>
      <c r="G74" s="159">
        <f>H74+I74</f>
        <v>2234</v>
      </c>
      <c r="H74" s="167"/>
      <c r="I74" s="167">
        <f>J74</f>
        <v>2234</v>
      </c>
      <c r="J74" s="326">
        <v>2234</v>
      </c>
    </row>
    <row r="75" spans="1:10" ht="54" customHeight="1">
      <c r="A75" s="327" t="s">
        <v>578</v>
      </c>
      <c r="B75" s="169"/>
      <c r="C75" s="170"/>
      <c r="D75" s="171" t="s">
        <v>579</v>
      </c>
      <c r="E75" s="172"/>
      <c r="F75" s="172"/>
      <c r="G75" s="173">
        <f>G76</f>
        <v>4643009</v>
      </c>
      <c r="H75" s="173">
        <f>H76</f>
        <v>4490169</v>
      </c>
      <c r="I75" s="173">
        <f>I76</f>
        <v>152840</v>
      </c>
      <c r="J75" s="328">
        <f>J76</f>
        <v>152840</v>
      </c>
    </row>
    <row r="76" spans="1:10" ht="51.75" customHeight="1">
      <c r="A76" s="311" t="s">
        <v>580</v>
      </c>
      <c r="B76" s="131"/>
      <c r="C76" s="132"/>
      <c r="D76" s="133" t="s">
        <v>579</v>
      </c>
      <c r="E76" s="143"/>
      <c r="F76" s="143"/>
      <c r="G76" s="148">
        <f>H76+I76</f>
        <v>4643009</v>
      </c>
      <c r="H76" s="148">
        <f>SUM(H77:H88)+H89</f>
        <v>4490169</v>
      </c>
      <c r="I76" s="148">
        <f>SUM(I77:I88)</f>
        <v>152840</v>
      </c>
      <c r="J76" s="317">
        <f>SUM(J77:J88)</f>
        <v>152840</v>
      </c>
    </row>
    <row r="77" spans="1:10" ht="87" customHeight="1">
      <c r="A77" s="316" t="s">
        <v>581</v>
      </c>
      <c r="B77" s="147" t="s">
        <v>532</v>
      </c>
      <c r="C77" s="132" t="s">
        <v>384</v>
      </c>
      <c r="D77" s="139" t="s">
        <v>183</v>
      </c>
      <c r="E77" s="143" t="s">
        <v>244</v>
      </c>
      <c r="F77" s="140" t="s">
        <v>342</v>
      </c>
      <c r="G77" s="141">
        <f>H77+I77</f>
        <v>152840</v>
      </c>
      <c r="H77" s="141"/>
      <c r="I77" s="141">
        <f>J77</f>
        <v>152840</v>
      </c>
      <c r="J77" s="314">
        <f>115890+36950</f>
        <v>152840</v>
      </c>
    </row>
    <row r="78" spans="1:10" ht="50.25" customHeight="1">
      <c r="A78" s="316" t="s">
        <v>697</v>
      </c>
      <c r="B78" s="146" t="s">
        <v>698</v>
      </c>
      <c r="C78" s="146" t="s">
        <v>429</v>
      </c>
      <c r="D78" s="144" t="s">
        <v>699</v>
      </c>
      <c r="E78" s="471" t="s">
        <v>184</v>
      </c>
      <c r="F78" s="467" t="s">
        <v>150</v>
      </c>
      <c r="G78" s="141">
        <f>H78</f>
        <v>17200</v>
      </c>
      <c r="H78" s="141">
        <v>17200</v>
      </c>
      <c r="I78" s="141"/>
      <c r="J78" s="312"/>
    </row>
    <row r="79" spans="1:10" ht="33">
      <c r="A79" s="316" t="s">
        <v>700</v>
      </c>
      <c r="B79" s="146" t="s">
        <v>701</v>
      </c>
      <c r="C79" s="146" t="s">
        <v>601</v>
      </c>
      <c r="D79" s="144" t="s">
        <v>638</v>
      </c>
      <c r="E79" s="468"/>
      <c r="F79" s="468"/>
      <c r="G79" s="141">
        <f>H79</f>
        <v>203400</v>
      </c>
      <c r="H79" s="141">
        <v>203400</v>
      </c>
      <c r="I79" s="141"/>
      <c r="J79" s="312"/>
    </row>
    <row r="80" spans="1:10" ht="49.5">
      <c r="A80" s="316" t="s">
        <v>702</v>
      </c>
      <c r="B80" s="146" t="s">
        <v>634</v>
      </c>
      <c r="C80" s="146" t="s">
        <v>601</v>
      </c>
      <c r="D80" s="144" t="s">
        <v>641</v>
      </c>
      <c r="E80" s="468"/>
      <c r="F80" s="468"/>
      <c r="G80" s="141">
        <f>H80</f>
        <v>2000000</v>
      </c>
      <c r="H80" s="141">
        <v>2000000</v>
      </c>
      <c r="I80" s="148"/>
      <c r="J80" s="312"/>
    </row>
    <row r="81" spans="1:10" ht="49.5">
      <c r="A81" s="316" t="s">
        <v>703</v>
      </c>
      <c r="B81" s="146" t="s">
        <v>640</v>
      </c>
      <c r="C81" s="146" t="s">
        <v>601</v>
      </c>
      <c r="D81" s="144" t="s">
        <v>644</v>
      </c>
      <c r="E81" s="456"/>
      <c r="F81" s="456"/>
      <c r="G81" s="141">
        <f>H81</f>
        <v>136100</v>
      </c>
      <c r="H81" s="141">
        <v>136100</v>
      </c>
      <c r="I81" s="148"/>
      <c r="J81" s="312"/>
    </row>
    <row r="82" spans="1:10" ht="55.5" customHeight="1">
      <c r="A82" s="316" t="s">
        <v>749</v>
      </c>
      <c r="B82" s="146" t="s">
        <v>750</v>
      </c>
      <c r="C82" s="146" t="s">
        <v>422</v>
      </c>
      <c r="D82" s="139" t="s">
        <v>185</v>
      </c>
      <c r="E82" s="140" t="s">
        <v>186</v>
      </c>
      <c r="F82" s="140" t="s">
        <v>343</v>
      </c>
      <c r="G82" s="145">
        <v>3000</v>
      </c>
      <c r="H82" s="145">
        <v>3000</v>
      </c>
      <c r="I82" s="148"/>
      <c r="J82" s="312"/>
    </row>
    <row r="83" spans="1:10" s="117" customFormat="1" ht="124.5" customHeight="1">
      <c r="A83" s="316" t="s">
        <v>752</v>
      </c>
      <c r="B83" s="146" t="s">
        <v>753</v>
      </c>
      <c r="C83" s="146" t="s">
        <v>535</v>
      </c>
      <c r="D83" s="139" t="s">
        <v>187</v>
      </c>
      <c r="E83" s="478" t="s">
        <v>184</v>
      </c>
      <c r="F83" s="483" t="s">
        <v>150</v>
      </c>
      <c r="G83" s="145">
        <f aca="true" t="shared" si="3" ref="G83:G88">H83</f>
        <v>384957</v>
      </c>
      <c r="H83" s="141">
        <v>384957</v>
      </c>
      <c r="I83" s="148"/>
      <c r="J83" s="312"/>
    </row>
    <row r="84" spans="1:10" ht="102.75" customHeight="1">
      <c r="A84" s="316" t="s">
        <v>755</v>
      </c>
      <c r="B84" s="146" t="s">
        <v>756</v>
      </c>
      <c r="C84" s="146" t="s">
        <v>586</v>
      </c>
      <c r="D84" s="144" t="s">
        <v>188</v>
      </c>
      <c r="E84" s="454"/>
      <c r="F84" s="454"/>
      <c r="G84" s="141">
        <f t="shared" si="3"/>
        <v>266000</v>
      </c>
      <c r="H84" s="141">
        <v>266000</v>
      </c>
      <c r="I84" s="148"/>
      <c r="J84" s="312"/>
    </row>
    <row r="85" spans="1:10" ht="49.5" customHeight="1">
      <c r="A85" s="316" t="s">
        <v>759</v>
      </c>
      <c r="B85" s="146" t="s">
        <v>428</v>
      </c>
      <c r="C85" s="146" t="s">
        <v>429</v>
      </c>
      <c r="D85" s="144" t="s">
        <v>430</v>
      </c>
      <c r="E85" s="454"/>
      <c r="F85" s="454"/>
      <c r="G85" s="141">
        <f t="shared" si="3"/>
        <v>268601</v>
      </c>
      <c r="H85" s="141">
        <v>268601</v>
      </c>
      <c r="I85" s="148"/>
      <c r="J85" s="312"/>
    </row>
    <row r="86" spans="1:10" ht="85.5" customHeight="1">
      <c r="A86" s="313" t="s">
        <v>0</v>
      </c>
      <c r="B86" s="136" t="s">
        <v>1</v>
      </c>
      <c r="C86" s="136" t="s">
        <v>429</v>
      </c>
      <c r="D86" s="152" t="s">
        <v>189</v>
      </c>
      <c r="E86" s="140" t="s">
        <v>184</v>
      </c>
      <c r="F86" s="143" t="s">
        <v>150</v>
      </c>
      <c r="G86" s="141">
        <f t="shared" si="3"/>
        <v>300000</v>
      </c>
      <c r="H86" s="141">
        <v>300000</v>
      </c>
      <c r="I86" s="148"/>
      <c r="J86" s="312"/>
    </row>
    <row r="87" spans="1:10" ht="69.75" customHeight="1">
      <c r="A87" s="316" t="s">
        <v>7</v>
      </c>
      <c r="B87" s="146" t="s">
        <v>435</v>
      </c>
      <c r="C87" s="132" t="s">
        <v>436</v>
      </c>
      <c r="D87" s="174" t="s">
        <v>190</v>
      </c>
      <c r="E87" s="140" t="s">
        <v>191</v>
      </c>
      <c r="F87" s="143" t="s">
        <v>150</v>
      </c>
      <c r="G87" s="145">
        <f t="shared" si="3"/>
        <v>791701</v>
      </c>
      <c r="H87" s="145">
        <v>791701</v>
      </c>
      <c r="I87" s="145"/>
      <c r="J87" s="312"/>
    </row>
    <row r="88" spans="1:10" ht="62.25" customHeight="1">
      <c r="A88" s="316" t="s">
        <v>8</v>
      </c>
      <c r="B88" s="146" t="s">
        <v>506</v>
      </c>
      <c r="C88" s="146" t="s">
        <v>482</v>
      </c>
      <c r="D88" s="144" t="s">
        <v>507</v>
      </c>
      <c r="E88" s="140" t="s">
        <v>192</v>
      </c>
      <c r="F88" s="140" t="s">
        <v>344</v>
      </c>
      <c r="G88" s="145">
        <f t="shared" si="3"/>
        <v>19210</v>
      </c>
      <c r="H88" s="145">
        <v>19210</v>
      </c>
      <c r="I88" s="145"/>
      <c r="J88" s="312"/>
    </row>
    <row r="89" spans="1:10" ht="63.75" customHeight="1" thickBot="1">
      <c r="A89" s="318" t="s">
        <v>9</v>
      </c>
      <c r="B89" s="155" t="s">
        <v>10</v>
      </c>
      <c r="C89" s="155" t="s">
        <v>515</v>
      </c>
      <c r="D89" s="176" t="s">
        <v>11</v>
      </c>
      <c r="E89" s="158" t="s">
        <v>193</v>
      </c>
      <c r="F89" s="158" t="s">
        <v>345</v>
      </c>
      <c r="G89" s="177">
        <f>H89</f>
        <v>100000</v>
      </c>
      <c r="H89" s="177">
        <v>100000</v>
      </c>
      <c r="I89" s="159"/>
      <c r="J89" s="329"/>
    </row>
    <row r="90" spans="1:10" ht="44.25" customHeight="1">
      <c r="A90" s="327" t="s">
        <v>12</v>
      </c>
      <c r="B90" s="169"/>
      <c r="C90" s="170"/>
      <c r="D90" s="178" t="s">
        <v>194</v>
      </c>
      <c r="E90" s="151"/>
      <c r="F90" s="151"/>
      <c r="G90" s="179">
        <f>G91</f>
        <v>2404654</v>
      </c>
      <c r="H90" s="179">
        <f>H91</f>
        <v>1065649</v>
      </c>
      <c r="I90" s="179">
        <f>I91</f>
        <v>1339005</v>
      </c>
      <c r="J90" s="330">
        <f>J91</f>
        <v>1339005</v>
      </c>
    </row>
    <row r="91" spans="1:10" ht="48" customHeight="1">
      <c r="A91" s="311" t="s">
        <v>14</v>
      </c>
      <c r="B91" s="131"/>
      <c r="C91" s="132"/>
      <c r="D91" s="180" t="s">
        <v>194</v>
      </c>
      <c r="E91" s="144"/>
      <c r="F91" s="144"/>
      <c r="G91" s="135">
        <f>H91+I91</f>
        <v>2404654</v>
      </c>
      <c r="H91" s="135">
        <f>H92+H93+H94+H95+H96+H97+H98</f>
        <v>1065649</v>
      </c>
      <c r="I91" s="135">
        <f>I92+I93+I94+I95+I96+I97+I98</f>
        <v>1339005</v>
      </c>
      <c r="J91" s="312">
        <f>J92+J93+J94+J95+J96+J97+J98</f>
        <v>1339005</v>
      </c>
    </row>
    <row r="92" spans="1:10" ht="72" customHeight="1">
      <c r="A92" s="316" t="s">
        <v>195</v>
      </c>
      <c r="B92" s="146" t="s">
        <v>17</v>
      </c>
      <c r="C92" s="146" t="s">
        <v>546</v>
      </c>
      <c r="D92" s="181" t="s">
        <v>196</v>
      </c>
      <c r="E92" s="448" t="s">
        <v>40</v>
      </c>
      <c r="F92" s="448" t="s">
        <v>197</v>
      </c>
      <c r="G92" s="145">
        <f>H92</f>
        <v>15600</v>
      </c>
      <c r="H92" s="145">
        <v>15600</v>
      </c>
      <c r="I92" s="145"/>
      <c r="J92" s="312"/>
    </row>
    <row r="93" spans="1:10" ht="74.25" customHeight="1">
      <c r="A93" s="316" t="s">
        <v>19</v>
      </c>
      <c r="B93" s="146" t="s">
        <v>20</v>
      </c>
      <c r="C93" s="146" t="s">
        <v>21</v>
      </c>
      <c r="D93" s="144" t="s">
        <v>22</v>
      </c>
      <c r="E93" s="462"/>
      <c r="F93" s="462"/>
      <c r="G93" s="145">
        <f>H93+I93</f>
        <v>270000</v>
      </c>
      <c r="H93" s="145"/>
      <c r="I93" s="145">
        <f>J93</f>
        <v>270000</v>
      </c>
      <c r="J93" s="315">
        <v>270000</v>
      </c>
    </row>
    <row r="94" spans="1:10" ht="74.25" customHeight="1">
      <c r="A94" s="316" t="s">
        <v>23</v>
      </c>
      <c r="B94" s="146" t="s">
        <v>24</v>
      </c>
      <c r="C94" s="146" t="s">
        <v>21</v>
      </c>
      <c r="D94" s="144" t="s">
        <v>25</v>
      </c>
      <c r="E94" s="462"/>
      <c r="F94" s="462"/>
      <c r="G94" s="145">
        <f>H94+I94</f>
        <v>484544</v>
      </c>
      <c r="H94" s="145">
        <v>7102</v>
      </c>
      <c r="I94" s="145">
        <f>J94</f>
        <v>477442</v>
      </c>
      <c r="J94" s="315">
        <v>477442</v>
      </c>
    </row>
    <row r="95" spans="1:10" ht="70.5" customHeight="1">
      <c r="A95" s="316" t="s">
        <v>26</v>
      </c>
      <c r="B95" s="146" t="s">
        <v>27</v>
      </c>
      <c r="C95" s="146" t="s">
        <v>28</v>
      </c>
      <c r="D95" s="181" t="s">
        <v>198</v>
      </c>
      <c r="E95" s="449"/>
      <c r="F95" s="449"/>
      <c r="G95" s="145">
        <f>H95+I95</f>
        <v>624510</v>
      </c>
      <c r="H95" s="145">
        <f>17503+15444</f>
        <v>32947</v>
      </c>
      <c r="I95" s="145">
        <f>J95</f>
        <v>591563</v>
      </c>
      <c r="J95" s="315">
        <v>591563</v>
      </c>
    </row>
    <row r="96" spans="1:10" s="182" customFormat="1" ht="89.25" customHeight="1">
      <c r="A96" s="452" t="s">
        <v>37</v>
      </c>
      <c r="B96" s="447">
        <v>4082</v>
      </c>
      <c r="C96" s="453" t="s">
        <v>35</v>
      </c>
      <c r="D96" s="472" t="s">
        <v>39</v>
      </c>
      <c r="E96" s="139" t="s">
        <v>40</v>
      </c>
      <c r="F96" s="139" t="s">
        <v>199</v>
      </c>
      <c r="G96" s="161">
        <f>H96</f>
        <v>816431</v>
      </c>
      <c r="H96" s="126">
        <f>616431+50000-50000+200000</f>
        <v>816431</v>
      </c>
      <c r="I96" s="126"/>
      <c r="J96" s="331"/>
    </row>
    <row r="97" spans="1:10" s="182" customFormat="1" ht="68.25" customHeight="1">
      <c r="A97" s="433"/>
      <c r="B97" s="474"/>
      <c r="C97" s="475"/>
      <c r="D97" s="473"/>
      <c r="E97" s="138" t="s">
        <v>41</v>
      </c>
      <c r="F97" s="150" t="s">
        <v>339</v>
      </c>
      <c r="G97" s="184">
        <f>H97</f>
        <v>143569</v>
      </c>
      <c r="H97" s="183">
        <v>143569</v>
      </c>
      <c r="I97" s="183"/>
      <c r="J97" s="332"/>
    </row>
    <row r="98" spans="1:10" s="182" customFormat="1" ht="78" customHeight="1" thickBot="1">
      <c r="A98" s="318" t="s">
        <v>42</v>
      </c>
      <c r="B98" s="218">
        <v>7622</v>
      </c>
      <c r="C98" s="186" t="s">
        <v>44</v>
      </c>
      <c r="D98" s="219" t="s">
        <v>200</v>
      </c>
      <c r="E98" s="157" t="s">
        <v>40</v>
      </c>
      <c r="F98" s="157" t="s">
        <v>199</v>
      </c>
      <c r="G98" s="167">
        <f>H98+I98</f>
        <v>50000</v>
      </c>
      <c r="H98" s="216">
        <v>50000</v>
      </c>
      <c r="I98" s="216"/>
      <c r="J98" s="333"/>
    </row>
    <row r="99" spans="1:10" ht="54" customHeight="1">
      <c r="A99" s="327" t="s">
        <v>46</v>
      </c>
      <c r="B99" s="169"/>
      <c r="C99" s="170"/>
      <c r="D99" s="171" t="s">
        <v>47</v>
      </c>
      <c r="E99" s="160"/>
      <c r="F99" s="160"/>
      <c r="G99" s="179">
        <f>G100</f>
        <v>5706328</v>
      </c>
      <c r="H99" s="179">
        <f>H100</f>
        <v>5561328</v>
      </c>
      <c r="I99" s="179">
        <f>I100</f>
        <v>145000</v>
      </c>
      <c r="J99" s="330">
        <f>J100</f>
        <v>145000</v>
      </c>
    </row>
    <row r="100" spans="1:10" ht="54" customHeight="1">
      <c r="A100" s="311" t="s">
        <v>48</v>
      </c>
      <c r="B100" s="131"/>
      <c r="C100" s="132"/>
      <c r="D100" s="133" t="s">
        <v>47</v>
      </c>
      <c r="E100" s="140"/>
      <c r="F100" s="140"/>
      <c r="G100" s="135">
        <f>SUM(G101:G109)</f>
        <v>5706328</v>
      </c>
      <c r="H100" s="135">
        <f>SUM(H101:H109)</f>
        <v>5561328</v>
      </c>
      <c r="I100" s="135">
        <f>SUM(I101:I109)</f>
        <v>145000</v>
      </c>
      <c r="J100" s="312">
        <f>SUM(J101:J109)</f>
        <v>145000</v>
      </c>
    </row>
    <row r="101" spans="1:10" ht="78" customHeight="1">
      <c r="A101" s="316" t="s">
        <v>49</v>
      </c>
      <c r="B101" s="146" t="s">
        <v>532</v>
      </c>
      <c r="C101" s="146" t="s">
        <v>384</v>
      </c>
      <c r="D101" s="144" t="s">
        <v>533</v>
      </c>
      <c r="E101" s="139" t="s">
        <v>142</v>
      </c>
      <c r="F101" s="140" t="s">
        <v>330</v>
      </c>
      <c r="G101" s="145">
        <f>H101+I101</f>
        <v>12000</v>
      </c>
      <c r="H101" s="145"/>
      <c r="I101" s="145">
        <v>12000</v>
      </c>
      <c r="J101" s="315">
        <v>12000</v>
      </c>
    </row>
    <row r="102" spans="1:10" ht="49.5">
      <c r="A102" s="316" t="s">
        <v>53</v>
      </c>
      <c r="B102" s="146" t="s">
        <v>54</v>
      </c>
      <c r="C102" s="132" t="s">
        <v>422</v>
      </c>
      <c r="D102" s="139" t="s">
        <v>55</v>
      </c>
      <c r="E102" s="139" t="s">
        <v>201</v>
      </c>
      <c r="F102" s="139" t="s">
        <v>202</v>
      </c>
      <c r="G102" s="161">
        <f>H102+I102</f>
        <v>70700</v>
      </c>
      <c r="H102" s="141">
        <v>70700</v>
      </c>
      <c r="I102" s="185"/>
      <c r="J102" s="312"/>
    </row>
    <row r="103" spans="1:10" ht="102" customHeight="1">
      <c r="A103" s="316" t="s">
        <v>56</v>
      </c>
      <c r="B103" s="146" t="s">
        <v>57</v>
      </c>
      <c r="C103" s="132" t="s">
        <v>422</v>
      </c>
      <c r="D103" s="139" t="s">
        <v>203</v>
      </c>
      <c r="E103" s="139" t="s">
        <v>178</v>
      </c>
      <c r="F103" s="139" t="s">
        <v>179</v>
      </c>
      <c r="G103" s="161">
        <f aca="true" t="shared" si="4" ref="G103:G109">H103+I103</f>
        <v>199000</v>
      </c>
      <c r="H103" s="141">
        <v>199000</v>
      </c>
      <c r="I103" s="185"/>
      <c r="J103" s="312"/>
    </row>
    <row r="104" spans="1:10" ht="68.25" customHeight="1">
      <c r="A104" s="476">
        <v>1115011</v>
      </c>
      <c r="B104" s="477">
        <v>5011</v>
      </c>
      <c r="C104" s="453" t="s">
        <v>567</v>
      </c>
      <c r="D104" s="466" t="s">
        <v>204</v>
      </c>
      <c r="E104" s="139" t="s">
        <v>209</v>
      </c>
      <c r="F104" s="139" t="s">
        <v>210</v>
      </c>
      <c r="G104" s="161">
        <f t="shared" si="4"/>
        <v>303040</v>
      </c>
      <c r="H104" s="141">
        <v>303040</v>
      </c>
      <c r="I104" s="185"/>
      <c r="J104" s="312"/>
    </row>
    <row r="105" spans="1:10" ht="75.75" customHeight="1">
      <c r="A105" s="476"/>
      <c r="B105" s="477"/>
      <c r="C105" s="453"/>
      <c r="D105" s="466"/>
      <c r="E105" s="139" t="s">
        <v>41</v>
      </c>
      <c r="F105" s="140" t="s">
        <v>339</v>
      </c>
      <c r="G105" s="161">
        <f t="shared" si="4"/>
        <v>136960</v>
      </c>
      <c r="H105" s="141">
        <v>136960</v>
      </c>
      <c r="I105" s="141"/>
      <c r="J105" s="312"/>
    </row>
    <row r="106" spans="1:10" ht="74.25" customHeight="1">
      <c r="A106" s="334">
        <v>1115041</v>
      </c>
      <c r="B106" s="149">
        <v>5041</v>
      </c>
      <c r="C106" s="132" t="s">
        <v>567</v>
      </c>
      <c r="D106" s="139" t="s">
        <v>72</v>
      </c>
      <c r="E106" s="139" t="s">
        <v>211</v>
      </c>
      <c r="F106" s="139" t="s">
        <v>212</v>
      </c>
      <c r="G106" s="161">
        <f t="shared" si="4"/>
        <v>3475975</v>
      </c>
      <c r="H106" s="141">
        <v>3342975</v>
      </c>
      <c r="I106" s="141">
        <f>J106</f>
        <v>133000</v>
      </c>
      <c r="J106" s="315">
        <f>18000+115000</f>
        <v>133000</v>
      </c>
    </row>
    <row r="107" spans="1:10" ht="49.5">
      <c r="A107" s="476">
        <v>1115062</v>
      </c>
      <c r="B107" s="477">
        <v>5062</v>
      </c>
      <c r="C107" s="453" t="s">
        <v>567</v>
      </c>
      <c r="D107" s="466" t="s">
        <v>213</v>
      </c>
      <c r="E107" s="139" t="s">
        <v>214</v>
      </c>
      <c r="F107" s="140" t="s">
        <v>346</v>
      </c>
      <c r="G107" s="161">
        <f t="shared" si="4"/>
        <v>1269653</v>
      </c>
      <c r="H107" s="141">
        <f>1284560-14907</f>
        <v>1269653</v>
      </c>
      <c r="I107" s="141"/>
      <c r="J107" s="312"/>
    </row>
    <row r="108" spans="1:10" ht="76.5" customHeight="1">
      <c r="A108" s="476"/>
      <c r="B108" s="477"/>
      <c r="C108" s="453"/>
      <c r="D108" s="496"/>
      <c r="E108" s="139" t="s">
        <v>215</v>
      </c>
      <c r="F108" s="139" t="s">
        <v>216</v>
      </c>
      <c r="G108" s="161">
        <f t="shared" si="4"/>
        <v>50000</v>
      </c>
      <c r="H108" s="141">
        <v>50000</v>
      </c>
      <c r="I108" s="141"/>
      <c r="J108" s="312"/>
    </row>
    <row r="109" spans="1:10" ht="71.25" customHeight="1" thickBot="1">
      <c r="A109" s="492"/>
      <c r="B109" s="493"/>
      <c r="C109" s="495"/>
      <c r="D109" s="497"/>
      <c r="E109" s="157" t="s">
        <v>217</v>
      </c>
      <c r="F109" s="157" t="s">
        <v>210</v>
      </c>
      <c r="G109" s="167">
        <f t="shared" si="4"/>
        <v>189000</v>
      </c>
      <c r="H109" s="177">
        <v>189000</v>
      </c>
      <c r="I109" s="177"/>
      <c r="J109" s="329"/>
    </row>
    <row r="110" spans="1:10" ht="59.25" customHeight="1">
      <c r="A110" s="335" t="s">
        <v>82</v>
      </c>
      <c r="B110" s="220"/>
      <c r="C110" s="220"/>
      <c r="D110" s="221" t="s">
        <v>218</v>
      </c>
      <c r="E110" s="222"/>
      <c r="F110" s="222"/>
      <c r="G110" s="223">
        <f>G111</f>
        <v>404353</v>
      </c>
      <c r="H110" s="223">
        <f>H111</f>
        <v>265178</v>
      </c>
      <c r="I110" s="223">
        <f>I111</f>
        <v>139175</v>
      </c>
      <c r="J110" s="336">
        <f>J111</f>
        <v>139175</v>
      </c>
    </row>
    <row r="111" spans="1:10" ht="52.5" customHeight="1">
      <c r="A111" s="337" t="s">
        <v>84</v>
      </c>
      <c r="B111" s="132"/>
      <c r="C111" s="132"/>
      <c r="D111" s="133" t="s">
        <v>218</v>
      </c>
      <c r="E111" s="139"/>
      <c r="F111" s="139"/>
      <c r="G111" s="162">
        <f>SUM(G112:G114)</f>
        <v>404353</v>
      </c>
      <c r="H111" s="162">
        <f>SUM(H112:H114)</f>
        <v>265178</v>
      </c>
      <c r="I111" s="162">
        <f>SUM(I112:I114)</f>
        <v>139175</v>
      </c>
      <c r="J111" s="322">
        <f>SUM(J112:J114)</f>
        <v>139175</v>
      </c>
    </row>
    <row r="112" spans="1:10" ht="66">
      <c r="A112" s="338" t="s">
        <v>85</v>
      </c>
      <c r="B112" s="132" t="s">
        <v>532</v>
      </c>
      <c r="C112" s="187" t="s">
        <v>384</v>
      </c>
      <c r="D112" s="188" t="s">
        <v>183</v>
      </c>
      <c r="E112" s="139" t="s">
        <v>142</v>
      </c>
      <c r="F112" s="140" t="s">
        <v>330</v>
      </c>
      <c r="G112" s="161">
        <f>H112+I112</f>
        <v>27300</v>
      </c>
      <c r="H112" s="162"/>
      <c r="I112" s="161">
        <f>J112</f>
        <v>27300</v>
      </c>
      <c r="J112" s="315">
        <v>27300</v>
      </c>
    </row>
    <row r="113" spans="1:10" ht="49.5">
      <c r="A113" s="339" t="s">
        <v>238</v>
      </c>
      <c r="B113" s="137" t="s">
        <v>239</v>
      </c>
      <c r="C113" s="72" t="s">
        <v>476</v>
      </c>
      <c r="D113" s="90" t="s">
        <v>240</v>
      </c>
      <c r="E113" s="143" t="s">
        <v>143</v>
      </c>
      <c r="F113" s="140" t="s">
        <v>250</v>
      </c>
      <c r="G113" s="184">
        <f>H113+I113</f>
        <v>111875</v>
      </c>
      <c r="H113" s="189"/>
      <c r="I113" s="184">
        <f>J113</f>
        <v>111875</v>
      </c>
      <c r="J113" s="340">
        <v>111875</v>
      </c>
    </row>
    <row r="114" spans="1:10" ht="55.5" customHeight="1" thickBot="1">
      <c r="A114" s="341" t="s">
        <v>86</v>
      </c>
      <c r="B114" s="155">
        <v>7693</v>
      </c>
      <c r="C114" s="186" t="s">
        <v>482</v>
      </c>
      <c r="D114" s="176" t="s">
        <v>507</v>
      </c>
      <c r="E114" s="157" t="s">
        <v>219</v>
      </c>
      <c r="F114" s="158" t="s">
        <v>347</v>
      </c>
      <c r="G114" s="167">
        <f>H114+I114</f>
        <v>265178</v>
      </c>
      <c r="H114" s="167">
        <v>265178</v>
      </c>
      <c r="I114" s="167"/>
      <c r="J114" s="329"/>
    </row>
    <row r="115" spans="1:10" ht="49.5">
      <c r="A115" s="327" t="s">
        <v>87</v>
      </c>
      <c r="B115" s="168"/>
      <c r="C115" s="168"/>
      <c r="D115" s="190" t="s">
        <v>88</v>
      </c>
      <c r="E115" s="142"/>
      <c r="F115" s="142"/>
      <c r="G115" s="191">
        <f>G116</f>
        <v>22758</v>
      </c>
      <c r="H115" s="191">
        <f>H116</f>
        <v>12758</v>
      </c>
      <c r="I115" s="191">
        <f>I116</f>
        <v>10000</v>
      </c>
      <c r="J115" s="342">
        <f>J116</f>
        <v>10000</v>
      </c>
    </row>
    <row r="116" spans="1:10" ht="49.5">
      <c r="A116" s="311" t="s">
        <v>89</v>
      </c>
      <c r="B116" s="130"/>
      <c r="C116" s="130"/>
      <c r="D116" s="192" t="s">
        <v>88</v>
      </c>
      <c r="E116" s="139"/>
      <c r="F116" s="139"/>
      <c r="G116" s="162">
        <f>H116+I116</f>
        <v>22758</v>
      </c>
      <c r="H116" s="162">
        <f>H117+H118</f>
        <v>12758</v>
      </c>
      <c r="I116" s="162">
        <f>I117</f>
        <v>10000</v>
      </c>
      <c r="J116" s="322">
        <f>J117</f>
        <v>10000</v>
      </c>
    </row>
    <row r="117" spans="1:10" ht="65.25" customHeight="1">
      <c r="A117" s="343" t="s">
        <v>90</v>
      </c>
      <c r="B117" s="266" t="s">
        <v>532</v>
      </c>
      <c r="C117" s="266" t="s">
        <v>384</v>
      </c>
      <c r="D117" s="267" t="s">
        <v>183</v>
      </c>
      <c r="E117" s="489" t="s">
        <v>142</v>
      </c>
      <c r="F117" s="491" t="s">
        <v>330</v>
      </c>
      <c r="G117" s="215">
        <f>H117+I117</f>
        <v>10000</v>
      </c>
      <c r="H117" s="268"/>
      <c r="I117" s="215">
        <f>J117</f>
        <v>10000</v>
      </c>
      <c r="J117" s="344">
        <v>10000</v>
      </c>
    </row>
    <row r="118" spans="1:10" s="265" customFormat="1" ht="34.5" customHeight="1" thickBot="1">
      <c r="A118" s="318" t="s">
        <v>329</v>
      </c>
      <c r="B118" s="155" t="s">
        <v>506</v>
      </c>
      <c r="C118" s="155" t="s">
        <v>482</v>
      </c>
      <c r="D118" s="176" t="s">
        <v>507</v>
      </c>
      <c r="E118" s="490"/>
      <c r="F118" s="488"/>
      <c r="G118" s="269">
        <f>H118+I118</f>
        <v>12758</v>
      </c>
      <c r="H118" s="269">
        <v>12758</v>
      </c>
      <c r="I118" s="269"/>
      <c r="J118" s="345"/>
    </row>
    <row r="119" spans="1:10" ht="75" customHeight="1">
      <c r="A119" s="327" t="s">
        <v>92</v>
      </c>
      <c r="B119" s="168"/>
      <c r="C119" s="168"/>
      <c r="D119" s="193" t="s">
        <v>93</v>
      </c>
      <c r="E119" s="194"/>
      <c r="F119" s="195"/>
      <c r="G119" s="196">
        <f>G120</f>
        <v>502838</v>
      </c>
      <c r="H119" s="196">
        <f>H120</f>
        <v>292538</v>
      </c>
      <c r="I119" s="196">
        <f>I120</f>
        <v>210300</v>
      </c>
      <c r="J119" s="346">
        <f>J120</f>
        <v>210300</v>
      </c>
    </row>
    <row r="120" spans="1:10" ht="49.5">
      <c r="A120" s="311" t="s">
        <v>94</v>
      </c>
      <c r="B120" s="130"/>
      <c r="C120" s="130"/>
      <c r="D120" s="197" t="s">
        <v>93</v>
      </c>
      <c r="E120" s="188"/>
      <c r="F120" s="198"/>
      <c r="G120" s="199">
        <f>H120+I120</f>
        <v>502838</v>
      </c>
      <c r="H120" s="199">
        <f>H121+H123+H122</f>
        <v>292538</v>
      </c>
      <c r="I120" s="199">
        <f>I121+I123+I122</f>
        <v>210300</v>
      </c>
      <c r="J120" s="347">
        <f>J121+J123+J122</f>
        <v>210300</v>
      </c>
    </row>
    <row r="121" spans="1:10" s="265" customFormat="1" ht="49.5">
      <c r="A121" s="433" t="s">
        <v>241</v>
      </c>
      <c r="B121" s="457" t="s">
        <v>506</v>
      </c>
      <c r="C121" s="457" t="s">
        <v>482</v>
      </c>
      <c r="D121" s="455" t="s">
        <v>512</v>
      </c>
      <c r="E121" s="143" t="s">
        <v>143</v>
      </c>
      <c r="F121" s="140" t="s">
        <v>333</v>
      </c>
      <c r="G121" s="270">
        <f>H121+I121</f>
        <v>200000</v>
      </c>
      <c r="H121" s="270"/>
      <c r="I121" s="270">
        <f>J121</f>
        <v>200000</v>
      </c>
      <c r="J121" s="348">
        <v>200000</v>
      </c>
    </row>
    <row r="122" spans="1:10" s="265" customFormat="1" ht="49.5">
      <c r="A122" s="500"/>
      <c r="B122" s="501"/>
      <c r="C122" s="501"/>
      <c r="D122" s="502"/>
      <c r="E122" s="224" t="s">
        <v>220</v>
      </c>
      <c r="F122" s="271" t="s">
        <v>348</v>
      </c>
      <c r="G122" s="270">
        <v>102838</v>
      </c>
      <c r="H122" s="270">
        <v>102838</v>
      </c>
      <c r="I122" s="270"/>
      <c r="J122" s="348"/>
    </row>
    <row r="123" spans="1:10" ht="49.5">
      <c r="A123" s="316" t="s">
        <v>96</v>
      </c>
      <c r="B123" s="146" t="s">
        <v>10</v>
      </c>
      <c r="C123" s="146" t="s">
        <v>515</v>
      </c>
      <c r="D123" s="144" t="s">
        <v>11</v>
      </c>
      <c r="E123" s="224" t="s">
        <v>220</v>
      </c>
      <c r="F123" s="271" t="s">
        <v>348</v>
      </c>
      <c r="G123" s="200">
        <f>H123+I123</f>
        <v>200000</v>
      </c>
      <c r="H123" s="200">
        <f>200000-10300</f>
        <v>189700</v>
      </c>
      <c r="I123" s="200">
        <f>J123</f>
        <v>10300</v>
      </c>
      <c r="J123" s="349">
        <f>10300</f>
        <v>10300</v>
      </c>
    </row>
    <row r="124" spans="1:10" ht="66">
      <c r="A124" s="327" t="s">
        <v>97</v>
      </c>
      <c r="B124" s="163"/>
      <c r="C124" s="163"/>
      <c r="D124" s="190" t="s">
        <v>98</v>
      </c>
      <c r="E124" s="142"/>
      <c r="F124" s="142"/>
      <c r="G124" s="191">
        <f>G125</f>
        <v>2731856</v>
      </c>
      <c r="H124" s="191">
        <f>H125</f>
        <v>1250979</v>
      </c>
      <c r="I124" s="191">
        <f>I125</f>
        <v>1480877</v>
      </c>
      <c r="J124" s="342">
        <f>J125</f>
        <v>1480877</v>
      </c>
    </row>
    <row r="125" spans="1:10" ht="66">
      <c r="A125" s="311" t="s">
        <v>99</v>
      </c>
      <c r="B125" s="146"/>
      <c r="C125" s="146"/>
      <c r="D125" s="192" t="s">
        <v>98</v>
      </c>
      <c r="E125" s="139"/>
      <c r="F125" s="139"/>
      <c r="G125" s="162">
        <f>SUM(G126:G132)</f>
        <v>2731856</v>
      </c>
      <c r="H125" s="162">
        <f>SUM(H126:H132)</f>
        <v>1250979</v>
      </c>
      <c r="I125" s="162">
        <f>SUM(I126:I132)</f>
        <v>1480877</v>
      </c>
      <c r="J125" s="322">
        <f>SUM(J126:J132)</f>
        <v>1480877</v>
      </c>
    </row>
    <row r="126" spans="1:10" ht="54" customHeight="1">
      <c r="A126" s="316" t="s">
        <v>101</v>
      </c>
      <c r="B126" s="146" t="s">
        <v>452</v>
      </c>
      <c r="C126" s="146" t="s">
        <v>440</v>
      </c>
      <c r="D126" s="144" t="s">
        <v>453</v>
      </c>
      <c r="E126" s="448" t="s">
        <v>221</v>
      </c>
      <c r="F126" s="448" t="s">
        <v>349</v>
      </c>
      <c r="G126" s="161">
        <f aca="true" t="shared" si="5" ref="G126:G131">H126+I126</f>
        <v>50000</v>
      </c>
      <c r="H126" s="161">
        <v>50000</v>
      </c>
      <c r="I126" s="161"/>
      <c r="J126" s="312"/>
    </row>
    <row r="127" spans="1:10" ht="42.75" customHeight="1">
      <c r="A127" s="316" t="s">
        <v>102</v>
      </c>
      <c r="B127" s="146" t="s">
        <v>458</v>
      </c>
      <c r="C127" s="146" t="s">
        <v>440</v>
      </c>
      <c r="D127" s="144" t="s">
        <v>459</v>
      </c>
      <c r="E127" s="462"/>
      <c r="F127" s="462"/>
      <c r="G127" s="161">
        <f t="shared" si="5"/>
        <v>738429</v>
      </c>
      <c r="H127" s="161">
        <f>689049+4380</f>
        <v>693429</v>
      </c>
      <c r="I127" s="161">
        <f>J127</f>
        <v>45000</v>
      </c>
      <c r="J127" s="315">
        <v>45000</v>
      </c>
    </row>
    <row r="128" spans="1:10" ht="25.5" customHeight="1">
      <c r="A128" s="316" t="s">
        <v>103</v>
      </c>
      <c r="B128" s="146" t="s">
        <v>471</v>
      </c>
      <c r="C128" s="146" t="s">
        <v>472</v>
      </c>
      <c r="D128" s="144" t="s">
        <v>473</v>
      </c>
      <c r="E128" s="462"/>
      <c r="F128" s="462"/>
      <c r="G128" s="161">
        <f t="shared" si="5"/>
        <v>45000</v>
      </c>
      <c r="H128" s="161">
        <v>45000</v>
      </c>
      <c r="I128" s="161"/>
      <c r="J128" s="312"/>
    </row>
    <row r="129" spans="1:10" ht="42.75" customHeight="1">
      <c r="A129" s="316" t="s">
        <v>104</v>
      </c>
      <c r="B129" s="146" t="s">
        <v>479</v>
      </c>
      <c r="C129" s="146" t="s">
        <v>476</v>
      </c>
      <c r="D129" s="144" t="s">
        <v>135</v>
      </c>
      <c r="E129" s="462"/>
      <c r="F129" s="462"/>
      <c r="G129" s="161">
        <f t="shared" si="5"/>
        <v>824975</v>
      </c>
      <c r="H129" s="161"/>
      <c r="I129" s="161">
        <f>J129</f>
        <v>824975</v>
      </c>
      <c r="J129" s="315">
        <v>824975</v>
      </c>
    </row>
    <row r="130" spans="1:10" ht="59.25" customHeight="1">
      <c r="A130" s="316" t="s">
        <v>105</v>
      </c>
      <c r="B130" s="146" t="s">
        <v>106</v>
      </c>
      <c r="C130" s="146" t="s">
        <v>476</v>
      </c>
      <c r="D130" s="144" t="s">
        <v>107</v>
      </c>
      <c r="E130" s="462"/>
      <c r="F130" s="462"/>
      <c r="G130" s="161">
        <f t="shared" si="5"/>
        <v>144600</v>
      </c>
      <c r="H130" s="161"/>
      <c r="I130" s="161">
        <f>J130</f>
        <v>144600</v>
      </c>
      <c r="J130" s="315">
        <v>144600</v>
      </c>
    </row>
    <row r="131" spans="1:10" ht="56.25" customHeight="1">
      <c r="A131" s="316" t="s">
        <v>108</v>
      </c>
      <c r="B131" s="146" t="s">
        <v>489</v>
      </c>
      <c r="C131" s="146" t="s">
        <v>490</v>
      </c>
      <c r="D131" s="144" t="s">
        <v>109</v>
      </c>
      <c r="E131" s="462"/>
      <c r="F131" s="462"/>
      <c r="G131" s="161">
        <f t="shared" si="5"/>
        <v>462550</v>
      </c>
      <c r="H131" s="161">
        <v>462550</v>
      </c>
      <c r="I131" s="161"/>
      <c r="J131" s="312"/>
    </row>
    <row r="132" spans="1:10" ht="45" customHeight="1" thickBot="1">
      <c r="A132" s="318" t="s">
        <v>110</v>
      </c>
      <c r="B132" s="155" t="s">
        <v>506</v>
      </c>
      <c r="C132" s="155" t="s">
        <v>482</v>
      </c>
      <c r="D132" s="176" t="s">
        <v>507</v>
      </c>
      <c r="E132" s="494"/>
      <c r="F132" s="494"/>
      <c r="G132" s="167">
        <f>H132+I132</f>
        <v>466302</v>
      </c>
      <c r="H132" s="167"/>
      <c r="I132" s="167">
        <f>J132</f>
        <v>466302</v>
      </c>
      <c r="J132" s="319">
        <v>466302</v>
      </c>
    </row>
    <row r="133" spans="1:10" ht="39.75" customHeight="1">
      <c r="A133" s="350">
        <v>3700000</v>
      </c>
      <c r="B133" s="169"/>
      <c r="C133" s="170"/>
      <c r="D133" s="171" t="s">
        <v>116</v>
      </c>
      <c r="E133" s="201"/>
      <c r="F133" s="201"/>
      <c r="G133" s="179">
        <f>G134</f>
        <v>8564107</v>
      </c>
      <c r="H133" s="179">
        <f>H134</f>
        <v>3304555</v>
      </c>
      <c r="I133" s="179">
        <f>I134</f>
        <v>5259552</v>
      </c>
      <c r="J133" s="330">
        <f>J134</f>
        <v>5259552</v>
      </c>
    </row>
    <row r="134" spans="1:10" ht="37.5" customHeight="1">
      <c r="A134" s="351">
        <v>3710000</v>
      </c>
      <c r="B134" s="131"/>
      <c r="C134" s="132"/>
      <c r="D134" s="133" t="s">
        <v>116</v>
      </c>
      <c r="E134" s="202"/>
      <c r="F134" s="202"/>
      <c r="G134" s="135">
        <f>H134+I134</f>
        <v>8564107</v>
      </c>
      <c r="H134" s="135">
        <f>SUM(H135:H139)</f>
        <v>3304555</v>
      </c>
      <c r="I134" s="135">
        <f>SUM(I135:I139)</f>
        <v>5259552</v>
      </c>
      <c r="J134" s="312">
        <f>SUM(J135:J139)</f>
        <v>5259552</v>
      </c>
    </row>
    <row r="135" spans="1:10" ht="72" customHeight="1">
      <c r="A135" s="316" t="s">
        <v>118</v>
      </c>
      <c r="B135" s="146" t="s">
        <v>532</v>
      </c>
      <c r="C135" s="146" t="s">
        <v>384</v>
      </c>
      <c r="D135" s="144" t="s">
        <v>533</v>
      </c>
      <c r="E135" s="138" t="s">
        <v>142</v>
      </c>
      <c r="F135" s="150" t="s">
        <v>330</v>
      </c>
      <c r="G135" s="145">
        <f>I135</f>
        <v>50500</v>
      </c>
      <c r="H135" s="145"/>
      <c r="I135" s="145">
        <f>J135</f>
        <v>50500</v>
      </c>
      <c r="J135" s="315">
        <f>35500+15000</f>
        <v>50500</v>
      </c>
    </row>
    <row r="136" spans="1:10" s="265" customFormat="1" ht="122.25" customHeight="1">
      <c r="A136" s="316" t="s">
        <v>323</v>
      </c>
      <c r="B136" s="146" t="s">
        <v>324</v>
      </c>
      <c r="C136" s="146" t="s">
        <v>390</v>
      </c>
      <c r="D136" s="144" t="s">
        <v>320</v>
      </c>
      <c r="E136" s="140" t="s">
        <v>159</v>
      </c>
      <c r="F136" s="140" t="s">
        <v>335</v>
      </c>
      <c r="G136" s="145">
        <f>H136+I136</f>
        <v>2400068</v>
      </c>
      <c r="H136" s="145">
        <f>400068+2000000</f>
        <v>2400068</v>
      </c>
      <c r="I136" s="145"/>
      <c r="J136" s="315"/>
    </row>
    <row r="137" spans="1:10" ht="26.25" customHeight="1">
      <c r="A137" s="316" t="s">
        <v>122</v>
      </c>
      <c r="B137" s="146" t="s">
        <v>123</v>
      </c>
      <c r="C137" s="146" t="s">
        <v>390</v>
      </c>
      <c r="D137" s="144" t="s">
        <v>124</v>
      </c>
      <c r="E137" s="466" t="s">
        <v>142</v>
      </c>
      <c r="F137" s="486" t="s">
        <v>330</v>
      </c>
      <c r="G137" s="145">
        <f>H137+I137</f>
        <v>99352</v>
      </c>
      <c r="H137" s="145">
        <v>99352</v>
      </c>
      <c r="I137" s="145"/>
      <c r="J137" s="315"/>
    </row>
    <row r="138" spans="1:10" ht="75" customHeight="1">
      <c r="A138" s="352">
        <v>3718881</v>
      </c>
      <c r="B138" s="126">
        <v>8881</v>
      </c>
      <c r="C138" s="132" t="s">
        <v>482</v>
      </c>
      <c r="D138" s="144" t="s">
        <v>222</v>
      </c>
      <c r="E138" s="484"/>
      <c r="F138" s="487"/>
      <c r="G138" s="145">
        <f>H138+I138</f>
        <v>5209052</v>
      </c>
      <c r="H138" s="145"/>
      <c r="I138" s="145">
        <f>J138</f>
        <v>5209052</v>
      </c>
      <c r="J138" s="315">
        <v>5209052</v>
      </c>
    </row>
    <row r="139" spans="1:10" ht="69.75" customHeight="1" thickBot="1">
      <c r="A139" s="353">
        <v>3719800</v>
      </c>
      <c r="B139" s="183">
        <v>9800</v>
      </c>
      <c r="C139" s="136" t="s">
        <v>390</v>
      </c>
      <c r="D139" s="152" t="s">
        <v>225</v>
      </c>
      <c r="E139" s="485"/>
      <c r="F139" s="488"/>
      <c r="G139" s="175">
        <f>H139+I139</f>
        <v>805135</v>
      </c>
      <c r="H139" s="175">
        <v>805135</v>
      </c>
      <c r="I139" s="175"/>
      <c r="J139" s="340"/>
    </row>
    <row r="140" spans="1:10" ht="24.75" customHeight="1" thickBot="1">
      <c r="A140" s="354" t="s">
        <v>132</v>
      </c>
      <c r="B140" s="203" t="s">
        <v>132</v>
      </c>
      <c r="C140" s="204" t="s">
        <v>132</v>
      </c>
      <c r="D140" s="205" t="s">
        <v>133</v>
      </c>
      <c r="E140" s="264" t="s">
        <v>132</v>
      </c>
      <c r="F140" s="206" t="s">
        <v>132</v>
      </c>
      <c r="G140" s="207">
        <f>G7+G58+G75+G90+G99+G110+G115+G119+G124+G133</f>
        <v>111691628</v>
      </c>
      <c r="H140" s="207">
        <f>H7+H58+H75+H90+H99+H110+H119+H115+H124+H133</f>
        <v>75079300</v>
      </c>
      <c r="I140" s="207">
        <f>I7+I58+I75+I90+I99+I110+I119+I115+I124+I133</f>
        <v>36612328</v>
      </c>
      <c r="J140" s="217">
        <f>J7+J58+J75+J90+J99+J110+J119+J115+J124+J133</f>
        <v>33210670</v>
      </c>
    </row>
    <row r="141" spans="7:10" ht="12.75">
      <c r="G141" s="118"/>
      <c r="H141" s="208"/>
      <c r="I141" s="208"/>
      <c r="J141" s="208"/>
    </row>
    <row r="142" spans="7:10" ht="12.75">
      <c r="G142" s="118"/>
      <c r="H142" s="208"/>
      <c r="I142" s="208"/>
      <c r="J142" s="208"/>
    </row>
    <row r="143" spans="7:10" ht="12.75">
      <c r="G143" s="118"/>
      <c r="H143" s="208"/>
      <c r="I143" s="208"/>
      <c r="J143" s="208"/>
    </row>
    <row r="144" spans="7:10" ht="12.75">
      <c r="G144" s="209"/>
      <c r="H144" s="209"/>
      <c r="I144" s="209"/>
      <c r="J144" s="209"/>
    </row>
    <row r="145" spans="8:10" ht="13.5" customHeight="1">
      <c r="H145" s="210"/>
      <c r="I145" s="210"/>
      <c r="J145" s="210"/>
    </row>
    <row r="146" spans="1:10" s="30" customFormat="1" ht="18">
      <c r="A146" s="112" t="s">
        <v>350</v>
      </c>
      <c r="B146" s="118"/>
      <c r="C146" s="212"/>
      <c r="D146" s="213"/>
      <c r="E146" s="213"/>
      <c r="F146" s="213"/>
      <c r="I146" s="110" t="s">
        <v>351</v>
      </c>
      <c r="J146" s="5"/>
    </row>
    <row r="148" ht="15">
      <c r="B148" s="211"/>
    </row>
    <row r="149" spans="7:10" ht="12.75">
      <c r="G149" s="7"/>
      <c r="H149" s="7"/>
      <c r="I149" s="7"/>
      <c r="J149" s="7"/>
    </row>
  </sheetData>
  <sheetProtection/>
  <mergeCells count="97">
    <mergeCell ref="A22:A23"/>
    <mergeCell ref="B22:B23"/>
    <mergeCell ref="C22:C23"/>
    <mergeCell ref="D22:D23"/>
    <mergeCell ref="A107:A109"/>
    <mergeCell ref="B107:B109"/>
    <mergeCell ref="E126:E132"/>
    <mergeCell ref="F126:F132"/>
    <mergeCell ref="C107:C109"/>
    <mergeCell ref="D107:D109"/>
    <mergeCell ref="A121:A122"/>
    <mergeCell ref="B121:B122"/>
    <mergeCell ref="C121:C122"/>
    <mergeCell ref="D121:D122"/>
    <mergeCell ref="F83:F85"/>
    <mergeCell ref="E92:E95"/>
    <mergeCell ref="F92:F95"/>
    <mergeCell ref="E137:E139"/>
    <mergeCell ref="F137:F139"/>
    <mergeCell ref="E117:E118"/>
    <mergeCell ref="F117:F118"/>
    <mergeCell ref="E37:E38"/>
    <mergeCell ref="F37:F38"/>
    <mergeCell ref="F72:F74"/>
    <mergeCell ref="B70:B71"/>
    <mergeCell ref="C70:C71"/>
    <mergeCell ref="D70:D71"/>
    <mergeCell ref="E53:E54"/>
    <mergeCell ref="F53:F54"/>
    <mergeCell ref="G1:H1"/>
    <mergeCell ref="A104:A105"/>
    <mergeCell ref="B104:B105"/>
    <mergeCell ref="C104:C105"/>
    <mergeCell ref="D104:D105"/>
    <mergeCell ref="E83:E85"/>
    <mergeCell ref="B67:B68"/>
    <mergeCell ref="C67:C68"/>
    <mergeCell ref="D67:D68"/>
    <mergeCell ref="E72:E74"/>
    <mergeCell ref="D96:D97"/>
    <mergeCell ref="A70:A71"/>
    <mergeCell ref="A96:A97"/>
    <mergeCell ref="B96:B97"/>
    <mergeCell ref="C96:C97"/>
    <mergeCell ref="F78:F81"/>
    <mergeCell ref="A63:A65"/>
    <mergeCell ref="B63:B65"/>
    <mergeCell ref="C63:C65"/>
    <mergeCell ref="D63:D65"/>
    <mergeCell ref="A67:A68"/>
    <mergeCell ref="E78:E81"/>
    <mergeCell ref="A45:A52"/>
    <mergeCell ref="B45:B52"/>
    <mergeCell ref="C45:C52"/>
    <mergeCell ref="D45:D52"/>
    <mergeCell ref="A60:A62"/>
    <mergeCell ref="B60:B62"/>
    <mergeCell ref="C60:C62"/>
    <mergeCell ref="D60:D62"/>
    <mergeCell ref="A32:A33"/>
    <mergeCell ref="B32:B33"/>
    <mergeCell ref="C32:C33"/>
    <mergeCell ref="D32:D33"/>
    <mergeCell ref="A42:A43"/>
    <mergeCell ref="B42:B43"/>
    <mergeCell ref="C42:C43"/>
    <mergeCell ref="D42:D43"/>
    <mergeCell ref="A24:A25"/>
    <mergeCell ref="B24:B25"/>
    <mergeCell ref="C24:C25"/>
    <mergeCell ref="D24:D25"/>
    <mergeCell ref="A30:A31"/>
    <mergeCell ref="B30:B31"/>
    <mergeCell ref="C30:C31"/>
    <mergeCell ref="D30:D31"/>
    <mergeCell ref="A11:A12"/>
    <mergeCell ref="B11:B12"/>
    <mergeCell ref="C11:C12"/>
    <mergeCell ref="D11:D12"/>
    <mergeCell ref="A14:A17"/>
    <mergeCell ref="B14:B17"/>
    <mergeCell ref="C14:C17"/>
    <mergeCell ref="D14:D17"/>
    <mergeCell ref="D9:D10"/>
    <mergeCell ref="G4:G5"/>
    <mergeCell ref="H4:H5"/>
    <mergeCell ref="I4:J4"/>
    <mergeCell ref="A9:A10"/>
    <mergeCell ref="B9:B10"/>
    <mergeCell ref="C9:C10"/>
    <mergeCell ref="A2:J2"/>
    <mergeCell ref="A4:A5"/>
    <mergeCell ref="B4:B5"/>
    <mergeCell ref="C4:C5"/>
    <mergeCell ref="D4:D5"/>
    <mergeCell ref="E4:E5"/>
    <mergeCell ref="F4:F5"/>
  </mergeCells>
  <printOptions/>
  <pageMargins left="0.7086614173228347" right="0.7086614173228347" top="0.7480314960629921" bottom="0.7480314960629921" header="0.31496062992125984" footer="0.31496062992125984"/>
  <pageSetup fitToHeight="12"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2019-03-26T13:06:01Z</cp:lastPrinted>
  <dcterms:created xsi:type="dcterms:W3CDTF">2014-01-17T10:52:16Z</dcterms:created>
  <dcterms:modified xsi:type="dcterms:W3CDTF">2019-03-26T13:08:15Z</dcterms:modified>
  <cp:category/>
  <cp:version/>
  <cp:contentType/>
  <cp:contentStatus/>
</cp:coreProperties>
</file>