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comments1.xml><?xml version="1.0" encoding="utf-8"?>
<comments xmlns="http://schemas.openxmlformats.org/spreadsheetml/2006/main">
  <authors>
    <author>@@</author>
  </authors>
  <commentList>
    <comment ref="J170" authorId="0">
      <text>
        <r>
          <rPr>
            <b/>
            <sz val="10"/>
            <rFont val="Tahoma"/>
            <family val="0"/>
          </rPr>
          <t>@@:</t>
        </r>
        <r>
          <rPr>
            <sz val="10"/>
            <rFont val="Tahoma"/>
            <family val="0"/>
          </rPr>
          <t xml:space="preserve">
весь 2000
</t>
        </r>
      </text>
    </comment>
    <comment ref="M170" authorId="0">
      <text>
        <r>
          <rPr>
            <b/>
            <sz val="10"/>
            <rFont val="Tahoma"/>
            <family val="0"/>
          </rPr>
          <t>@@:</t>
        </r>
        <r>
          <rPr>
            <sz val="10"/>
            <rFont val="Tahoma"/>
            <family val="0"/>
          </rPr>
          <t xml:space="preserve">
весь 3000
</t>
        </r>
      </text>
    </comment>
  </commentList>
</comments>
</file>

<file path=xl/sharedStrings.xml><?xml version="1.0" encoding="utf-8"?>
<sst xmlns="http://schemas.openxmlformats.org/spreadsheetml/2006/main" count="300" uniqueCount="161">
  <si>
    <t xml:space="preserve">                   </t>
  </si>
  <si>
    <t>грн.</t>
  </si>
  <si>
    <t xml:space="preserve">Код типової відомчої класифікації місцевого бюджету 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</si>
  <si>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</si>
  <si>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</si>
  <si>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</si>
  <si>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</si>
  <si>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</si>
  <si>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 xml:space="preserve">                          </t>
  </si>
  <si>
    <t>Код тимчасової класифікації видатків та кредитування місцевого бюджету</t>
  </si>
  <si>
    <t>Всього</t>
  </si>
  <si>
    <t>видатки споживання</t>
  </si>
  <si>
    <t>з них</t>
  </si>
  <si>
    <t>видатки розвитку</t>
  </si>
  <si>
    <t>соціально-</t>
  </si>
  <si>
    <t>оплата праці</t>
  </si>
  <si>
    <t>комунальні послуги та енергоносії</t>
  </si>
  <si>
    <t>бюджет розвитку</t>
  </si>
  <si>
    <t>економічного</t>
  </si>
  <si>
    <t>розвитку</t>
  </si>
  <si>
    <t>03</t>
  </si>
  <si>
    <t>Виконавчий комітет Новокаховської міської ради</t>
  </si>
  <si>
    <t>010000</t>
  </si>
  <si>
    <t>Державне управлiння</t>
  </si>
  <si>
    <t>010116</t>
  </si>
  <si>
    <t>0111</t>
  </si>
  <si>
    <t>Органи мiсцевого самоврядування</t>
  </si>
  <si>
    <t>080000</t>
  </si>
  <si>
    <t>Охорона здоров`я</t>
  </si>
  <si>
    <t>080101</t>
  </si>
  <si>
    <t>0731</t>
  </si>
  <si>
    <t>Лікарні</t>
  </si>
  <si>
    <t>в тому числі медична субвенція з державного бюджету</t>
  </si>
  <si>
    <t>в тому числі за рахунок коштів міського бюджету</t>
  </si>
  <si>
    <t>080800</t>
  </si>
  <si>
    <t>0726</t>
  </si>
  <si>
    <t>Центри первинної медичної (медико-санітарної) допомоги</t>
  </si>
  <si>
    <t>081002</t>
  </si>
  <si>
    <t>0763</t>
  </si>
  <si>
    <t>Iншi заходи по охоронi здоров`я</t>
  </si>
  <si>
    <t>090000</t>
  </si>
  <si>
    <t>Соцiальний захист та соцiальне забезпечення</t>
  </si>
  <si>
    <t>090412</t>
  </si>
  <si>
    <t>1090</t>
  </si>
  <si>
    <t>Iншi видатки на соціальний захист населення</t>
  </si>
  <si>
    <t>090416</t>
  </si>
  <si>
    <t>1030</t>
  </si>
  <si>
    <t>Iншi видатки на соціальний захист ветеранів війни та праці</t>
  </si>
  <si>
    <t>090802</t>
  </si>
  <si>
    <t>1040</t>
  </si>
  <si>
    <t>Інші програми соціального захисту дітей</t>
  </si>
  <si>
    <t>091101</t>
  </si>
  <si>
    <t>Утримання центрiв соцiальних служб для сім`ї, дітей та молоді</t>
  </si>
  <si>
    <t>091102</t>
  </si>
  <si>
    <t>Програми i заходи центрiв соцiальних служб для сім`ї, дітей та  молодi</t>
  </si>
  <si>
    <t>Житлово-комунальне господарство</t>
  </si>
  <si>
    <t>100102</t>
  </si>
  <si>
    <t>0610</t>
  </si>
  <si>
    <t>Капітальний ремонт житлового фонду місцевих органів влади</t>
  </si>
  <si>
    <t>100202</t>
  </si>
  <si>
    <t>0620</t>
  </si>
  <si>
    <t>Водопровідно-каналізаційне господарство </t>
  </si>
  <si>
    <t>Благоустрiй мiст, сіл, селищ</t>
  </si>
  <si>
    <t>100302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</si>
  <si>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 </t>
  </si>
  <si>
    <t>Засоби масової iнформацiї</t>
  </si>
  <si>
    <t>0830</t>
  </si>
  <si>
    <t>Телебачення i радiомовлення</t>
  </si>
  <si>
    <t>Перiодичнi видання (газети та журнали)</t>
  </si>
  <si>
    <t>Будiвництво</t>
  </si>
  <si>
    <t>0490</t>
  </si>
  <si>
    <t>Капiтальнi вкладення</t>
  </si>
  <si>
    <t>150202</t>
  </si>
  <si>
    <t>0443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</si>
  <si>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</si>
  <si>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</si>
  <si>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</si>
  <si>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</si>
  <si>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0421</t>
  </si>
  <si>
    <t>Землеустрiй</t>
  </si>
  <si>
    <t>Транспорт, дорожнє господарство, зв`язок, телекомунiкацiї та iнформатика</t>
  </si>
  <si>
    <t>0456</t>
  </si>
  <si>
    <t>Видатки на проведення робіт, пов`язаних з будiвництвом, реконструкцiєю, ремонтом i утриманням автомобiльних дорiг</t>
  </si>
  <si>
    <t>Iншi послуги, пов`язанi з економiчною дiяльнiстю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</si>
  <si>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</si>
  <si>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Цiльовi фонди</t>
  </si>
  <si>
    <t>0511</t>
  </si>
  <si>
    <t>Охорона та раціональне використання природних ресурсів</t>
  </si>
  <si>
    <t>Видатки, не вiднесенi до основних груп</t>
  </si>
  <si>
    <t>0133</t>
  </si>
  <si>
    <t>Іншi видатки</t>
  </si>
  <si>
    <t>250500</t>
  </si>
  <si>
    <t>Підготовка земельних ділянок несільськогосподарського призначення або прав на них комунальної власності для продажу на  земельних торгах та проведення таких торгів</t>
  </si>
  <si>
    <t>10</t>
  </si>
  <si>
    <t>Відділ освіти  Новокаховської міської ради</t>
  </si>
  <si>
    <t>070000</t>
  </si>
  <si>
    <t>Освiта</t>
  </si>
  <si>
    <t>070101</t>
  </si>
  <si>
    <t>0910</t>
  </si>
  <si>
    <t>Дошкiльнi заклади освiти</t>
  </si>
  <si>
    <t>0921</t>
  </si>
  <si>
    <t>Загальноосвiтнi школи (в т.ч. школа-дитячий садок, iнтернат при школi), спецiалiзованi школи, лiцеї, гiмназiї, колегiуми</t>
  </si>
  <si>
    <t>1.</t>
  </si>
  <si>
    <t>СУБВЕНЦІЯ</t>
  </si>
  <si>
    <t>в тому числі освітня субвенція з державного бюджету</t>
  </si>
  <si>
    <t xml:space="preserve">                                                                                                                         </t>
  </si>
  <si>
    <t>ЗОШ № 1</t>
  </si>
  <si>
    <t>НВК № 2</t>
  </si>
  <si>
    <t>ЗОШ № 3</t>
  </si>
  <si>
    <t>ЗОШ № 4</t>
  </si>
  <si>
    <t>ЗОШ № 5</t>
  </si>
  <si>
    <t>ЗОШ № 6</t>
  </si>
  <si>
    <t>ЗОШ № 7</t>
  </si>
  <si>
    <t>ЗОШ № 8</t>
  </si>
  <si>
    <t>Гімназія</t>
  </si>
  <si>
    <t>ЗОШ № 10</t>
  </si>
  <si>
    <t>НКТЕЛ</t>
  </si>
  <si>
    <t>Дніпрянська ЗОШ</t>
  </si>
  <si>
    <t>Маслівська ЗОШ</t>
  </si>
  <si>
    <t>Корсунська ЗОШ</t>
  </si>
  <si>
    <t>2.</t>
  </si>
  <si>
    <t>в тому числі субвенція з державного б-ту місцевим б-том на здійснення заходів щодо соціально- економічного розвитку окремах територій</t>
  </si>
  <si>
    <t>3.</t>
  </si>
  <si>
    <t>4.</t>
  </si>
  <si>
    <t>5.</t>
  </si>
  <si>
    <t>МІСЦ,БЮДЖ.</t>
  </si>
  <si>
    <t>в тому числі за рахунок коштів міського бюдж.</t>
  </si>
  <si>
    <t>ВСЬОГО:</t>
  </si>
  <si>
    <t>Секретар міської ради</t>
  </si>
  <si>
    <t>О.В.Лук"яненко</t>
  </si>
  <si>
    <t>л</t>
  </si>
  <si>
    <t>д</t>
  </si>
  <si>
    <t>м</t>
  </si>
  <si>
    <t>к</t>
  </si>
  <si>
    <t>0611020</t>
  </si>
  <si>
    <t>Розподіл видатків міського бюджету за розпорядниками коштів нижчого рівня відділу освіти Новокаховської міської ради на 2019 рік</t>
  </si>
  <si>
    <t>ІНКЛЮЗІЯ</t>
  </si>
  <si>
    <t>Придбання україномовних дидактичних матеріалів</t>
  </si>
  <si>
    <t>Придбання обладнання  для ресурсних кімнат</t>
  </si>
  <si>
    <t>від 3000 це видатки розвитку</t>
  </si>
  <si>
    <t>від 2000 це видатки споживання</t>
  </si>
  <si>
    <t>Оновлення матеріально-технічної бази</t>
  </si>
  <si>
    <t>6.</t>
  </si>
  <si>
    <t>в тому числі залишок освітьної субвенції за рахунок коштів обласного бюджету</t>
  </si>
  <si>
    <t xml:space="preserve">реконструкція </t>
  </si>
  <si>
    <t>7.</t>
  </si>
  <si>
    <t>за рахунок коштів субвенції на фінансування проектів-переможців облас. Конкурсу проектів розвитку тер. Громад з облсного бюджету</t>
  </si>
  <si>
    <t>-37820</t>
  </si>
  <si>
    <t>-51235 будівництво</t>
  </si>
  <si>
    <t>Створення нового освітнього простору профільної школи-академічного ліцею шляхом проведення капітального ремонту</t>
  </si>
  <si>
    <t>500 000</t>
  </si>
  <si>
    <t>субвенцію рознесла</t>
  </si>
  <si>
    <t>реєстр річний</t>
  </si>
  <si>
    <t>в тому числі субвенція з державного б-ту на НУШ</t>
  </si>
  <si>
    <t>НУШ</t>
  </si>
  <si>
    <t>8.</t>
  </si>
  <si>
    <t>Підвищення кваліфікації педагогічних працівників по НУШ</t>
  </si>
  <si>
    <t>травень</t>
  </si>
  <si>
    <t>430+3059</t>
  </si>
  <si>
    <t>від 16.05.2019р. №1973</t>
  </si>
  <si>
    <t xml:space="preserve">Додаток
до рішення 62 сесії 
міської ради 7-го скликання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</si>
</sst>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 Cyr"/>
      <family val="2"/>
    </font>
    <font>
      <sz val="10"/>
      <name val="Arial Cyr"/>
      <family val="2"/>
    </font>
    <font>
      <sz val="13"/>
      <name val="Times New Roman Cyr"/>
      <family val="0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9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8"/>
      <name val="Times New Roman"/>
      <family val="1"/>
    </font>
    <font>
      <sz val="7"/>
      <name val="Times New Roman"/>
      <family val="1"/>
    </font>
    <font>
      <b/>
      <sz val="5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b/>
      <sz val="13"/>
      <name val="Arial Cyr"/>
      <family val="0"/>
    </font>
    <font>
      <b/>
      <sz val="7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17" fillId="0" borderId="0">
      <alignment/>
      <protection/>
    </xf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vertical="center" wrapText="1"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>
      <alignment vertical="center" wrapText="1"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 wrapText="1"/>
    </xf>
    <xf numFmtId="0" fontId="11" fillId="0" borderId="15" xfId="0" applyNumberFormat="1" applyFont="1" applyFill="1" applyBorder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 wrapText="1"/>
    </xf>
    <xf numFmtId="0" fontId="11" fillId="0" borderId="19" xfId="0" applyNumberFormat="1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/>
      <protection/>
    </xf>
    <xf numFmtId="2" fontId="10" fillId="0" borderId="15" xfId="0" applyNumberFormat="1" applyFont="1" applyFill="1" applyBorder="1" applyAlignment="1" applyProtection="1">
      <alignment/>
      <protection/>
    </xf>
    <xf numFmtId="2" fontId="10" fillId="0" borderId="17" xfId="0" applyNumberFormat="1" applyFont="1" applyFill="1" applyBorder="1" applyAlignment="1" applyProtection="1">
      <alignment/>
      <protection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11" fillId="0" borderId="15" xfId="0" applyNumberFormat="1" applyFont="1" applyFill="1" applyBorder="1" applyAlignment="1" applyProtection="1">
      <alignment/>
      <protection/>
    </xf>
    <xf numFmtId="49" fontId="7" fillId="0" borderId="2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 wrapText="1"/>
    </xf>
    <xf numFmtId="0" fontId="1" fillId="0" borderId="24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/>
      <protection/>
    </xf>
    <xf numFmtId="0" fontId="11" fillId="0" borderId="23" xfId="0" applyNumberFormat="1" applyFont="1" applyFill="1" applyBorder="1" applyAlignment="1" applyProtection="1">
      <alignment/>
      <protection/>
    </xf>
    <xf numFmtId="0" fontId="15" fillId="0" borderId="24" xfId="0" applyFont="1" applyFill="1" applyBorder="1" applyAlignment="1">
      <alignment vertical="center" wrapText="1"/>
    </xf>
    <xf numFmtId="2" fontId="10" fillId="0" borderId="25" xfId="0" applyNumberFormat="1" applyFont="1" applyFill="1" applyBorder="1" applyAlignment="1" applyProtection="1">
      <alignment/>
      <protection/>
    </xf>
    <xf numFmtId="0" fontId="9" fillId="0" borderId="24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1" fontId="16" fillId="0" borderId="15" xfId="52" applyNumberFormat="1" applyFont="1" applyFill="1" applyBorder="1">
      <alignment/>
      <protection/>
    </xf>
    <xf numFmtId="49" fontId="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/>
      <protection/>
    </xf>
    <xf numFmtId="0" fontId="19" fillId="0" borderId="15" xfId="0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wrapText="1"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1" fillId="4" borderId="0" xfId="0" applyNumberFormat="1" applyFont="1" applyFill="1" applyAlignment="1" applyProtection="1">
      <alignment/>
      <protection/>
    </xf>
    <xf numFmtId="0" fontId="0" fillId="4" borderId="0" xfId="0" applyFont="1" applyFill="1" applyAlignment="1">
      <alignment/>
    </xf>
    <xf numFmtId="1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 applyProtection="1">
      <alignment/>
      <protection/>
    </xf>
    <xf numFmtId="2" fontId="10" fillId="0" borderId="28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15" xfId="0" applyFont="1" applyFill="1" applyBorder="1" applyAlignment="1">
      <alignment wrapText="1"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 wrapText="1"/>
    </xf>
    <xf numFmtId="0" fontId="11" fillId="0" borderId="2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1" fontId="1" fillId="0" borderId="15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>
      <alignment/>
    </xf>
    <xf numFmtId="1" fontId="10" fillId="0" borderId="25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1" fontId="18" fillId="0" borderId="2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1" fillId="0" borderId="15" xfId="0" applyNumberFormat="1" applyFont="1" applyFill="1" applyBorder="1" applyAlignment="1" applyProtection="1">
      <alignment horizontal="center"/>
      <protection/>
    </xf>
    <xf numFmtId="2" fontId="11" fillId="0" borderId="30" xfId="52" applyNumberFormat="1" applyFont="1" applyFill="1" applyBorder="1" applyAlignment="1">
      <alignment horizontal="center" wrapText="1"/>
      <protection/>
    </xf>
    <xf numFmtId="2" fontId="11" fillId="0" borderId="15" xfId="0" applyNumberFormat="1" applyFont="1" applyFill="1" applyBorder="1" applyAlignment="1" applyProtection="1">
      <alignment horizontal="center"/>
      <protection/>
    </xf>
    <xf numFmtId="1" fontId="11" fillId="0" borderId="15" xfId="0" applyNumberFormat="1" applyFont="1" applyFill="1" applyBorder="1" applyAlignment="1" applyProtection="1">
      <alignment horizontal="center"/>
      <protection/>
    </xf>
    <xf numFmtId="2" fontId="10" fillId="0" borderId="15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/>
      <protection/>
    </xf>
    <xf numFmtId="1" fontId="11" fillId="0" borderId="15" xfId="52" applyNumberFormat="1" applyFont="1" applyFill="1" applyBorder="1">
      <alignment/>
      <protection/>
    </xf>
    <xf numFmtId="49" fontId="13" fillId="0" borderId="14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/>
      <protection/>
    </xf>
    <xf numFmtId="0" fontId="41" fillId="0" borderId="15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49" fontId="40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" fontId="11" fillId="0" borderId="25" xfId="0" applyNumberFormat="1" applyFont="1" applyFill="1" applyBorder="1" applyAlignment="1" applyProtection="1">
      <alignment/>
      <protection/>
    </xf>
    <xf numFmtId="0" fontId="11" fillId="4" borderId="15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/>
    </xf>
    <xf numFmtId="49" fontId="7" fillId="0" borderId="26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 wrapText="1"/>
    </xf>
    <xf numFmtId="1" fontId="16" fillId="0" borderId="25" xfId="52" applyNumberFormat="1" applyFont="1" applyFill="1" applyBorder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42" fillId="0" borderId="15" xfId="0" applyFont="1" applyFill="1" applyBorder="1" applyAlignment="1">
      <alignment vertical="center" wrapText="1"/>
    </xf>
    <xf numFmtId="2" fontId="10" fillId="0" borderId="31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1" fillId="0" borderId="23" xfId="0" applyNumberFormat="1" applyFont="1" applyFill="1" applyBorder="1" applyAlignment="1" applyProtection="1">
      <alignment/>
      <protection/>
    </xf>
    <xf numFmtId="1" fontId="10" fillId="0" borderId="32" xfId="0" applyNumberFormat="1" applyFont="1" applyFill="1" applyBorder="1" applyAlignment="1" applyProtection="1">
      <alignment/>
      <protection/>
    </xf>
    <xf numFmtId="49" fontId="43" fillId="0" borderId="25" xfId="0" applyNumberFormat="1" applyFont="1" applyFill="1" applyBorder="1" applyAlignment="1" applyProtection="1">
      <alignment horizontal="center" vertical="center" wrapText="1"/>
      <protection/>
    </xf>
    <xf numFmtId="1" fontId="11" fillId="4" borderId="15" xfId="0" applyNumberFormat="1" applyFont="1" applyFill="1" applyBorder="1" applyAlignment="1" applyProtection="1">
      <alignment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0" fontId="0" fillId="18" borderId="0" xfId="0" applyFont="1" applyFill="1" applyAlignment="1">
      <alignment/>
    </xf>
    <xf numFmtId="1" fontId="10" fillId="0" borderId="25" xfId="52" applyNumberFormat="1" applyFont="1" applyFill="1" applyBorder="1">
      <alignment/>
      <protection/>
    </xf>
    <xf numFmtId="0" fontId="0" fillId="4" borderId="15" xfId="0" applyFont="1" applyFill="1" applyBorder="1" applyAlignment="1">
      <alignment/>
    </xf>
    <xf numFmtId="1" fontId="5" fillId="0" borderId="25" xfId="0" applyNumberFormat="1" applyFont="1" applyFill="1" applyBorder="1" applyAlignment="1" applyProtection="1">
      <alignment/>
      <protection/>
    </xf>
    <xf numFmtId="1" fontId="5" fillId="0" borderId="15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>
      <alignment/>
    </xf>
    <xf numFmtId="1" fontId="5" fillId="0" borderId="15" xfId="52" applyNumberFormat="1" applyFont="1" applyFill="1" applyBorder="1">
      <alignment/>
      <protection/>
    </xf>
    <xf numFmtId="1" fontId="5" fillId="0" borderId="25" xfId="52" applyNumberFormat="1" applyFont="1" applyFill="1" applyBorder="1">
      <alignment/>
      <protection/>
    </xf>
    <xf numFmtId="49" fontId="40" fillId="0" borderId="25" xfId="0" applyNumberFormat="1" applyFont="1" applyFill="1" applyBorder="1" applyAlignment="1" applyProtection="1">
      <alignment horizontal="center" vertical="center" wrapText="1"/>
      <protection/>
    </xf>
    <xf numFmtId="1" fontId="16" fillId="0" borderId="12" xfId="52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11" fillId="0" borderId="16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/>
      <protection/>
    </xf>
    <xf numFmtId="1" fontId="11" fillId="0" borderId="32" xfId="0" applyNumberFormat="1" applyFont="1" applyFill="1" applyBorder="1" applyAlignment="1" applyProtection="1">
      <alignment/>
      <protection/>
    </xf>
    <xf numFmtId="0" fontId="10" fillId="0" borderId="32" xfId="0" applyNumberFormat="1" applyFont="1" applyFill="1" applyBorder="1" applyAlignment="1" applyProtection="1">
      <alignment/>
      <protection/>
    </xf>
    <xf numFmtId="0" fontId="11" fillId="0" borderId="33" xfId="0" applyNumberFormat="1" applyFont="1" applyFill="1" applyBorder="1" applyAlignment="1" applyProtection="1">
      <alignment/>
      <protection/>
    </xf>
    <xf numFmtId="0" fontId="10" fillId="0" borderId="34" xfId="0" applyNumberFormat="1" applyFont="1" applyFill="1" applyBorder="1" applyAlignment="1" applyProtection="1">
      <alignment/>
      <protection/>
    </xf>
    <xf numFmtId="1" fontId="10" fillId="0" borderId="35" xfId="0" applyNumberFormat="1" applyFont="1" applyFill="1" applyBorder="1" applyAlignment="1" applyProtection="1">
      <alignment/>
      <protection/>
    </xf>
    <xf numFmtId="1" fontId="10" fillId="0" borderId="36" xfId="0" applyNumberFormat="1" applyFont="1" applyFill="1" applyBorder="1" applyAlignment="1" applyProtection="1">
      <alignment/>
      <protection/>
    </xf>
    <xf numFmtId="1" fontId="10" fillId="0" borderId="15" xfId="0" applyNumberFormat="1" applyFont="1" applyFill="1" applyBorder="1" applyAlignment="1" applyProtection="1">
      <alignment/>
      <protection/>
    </xf>
    <xf numFmtId="0" fontId="44" fillId="0" borderId="25" xfId="0" applyFont="1" applyFill="1" applyBorder="1" applyAlignment="1">
      <alignment vertical="center" wrapText="1"/>
    </xf>
    <xf numFmtId="1" fontId="45" fillId="0" borderId="25" xfId="52" applyNumberFormat="1" applyFont="1" applyFill="1" applyBorder="1">
      <alignment/>
      <protection/>
    </xf>
    <xf numFmtId="0" fontId="46" fillId="0" borderId="25" xfId="0" applyFont="1" applyFill="1" applyBorder="1" applyAlignment="1">
      <alignment vertical="center" wrapText="1"/>
    </xf>
    <xf numFmtId="0" fontId="0" fillId="10" borderId="0" xfId="0" applyFont="1" applyFill="1" applyAlignment="1">
      <alignment/>
    </xf>
    <xf numFmtId="0" fontId="47" fillId="4" borderId="0" xfId="0" applyNumberFormat="1" applyFont="1" applyFill="1" applyBorder="1" applyAlignment="1" applyProtection="1">
      <alignment/>
      <protection/>
    </xf>
    <xf numFmtId="1" fontId="48" fillId="4" borderId="0" xfId="0" applyNumberFormat="1" applyFont="1" applyFill="1" applyBorder="1" applyAlignment="1">
      <alignment/>
    </xf>
    <xf numFmtId="2" fontId="48" fillId="4" borderId="0" xfId="0" applyNumberFormat="1" applyFont="1" applyFill="1" applyBorder="1" applyAlignment="1">
      <alignment/>
    </xf>
    <xf numFmtId="0" fontId="48" fillId="4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2" fontId="49" fillId="4" borderId="0" xfId="0" applyNumberFormat="1" applyFont="1" applyFill="1" applyBorder="1" applyAlignment="1" applyProtection="1">
      <alignment/>
      <protection/>
    </xf>
    <xf numFmtId="1" fontId="49" fillId="4" borderId="0" xfId="0" applyNumberFormat="1" applyFont="1" applyFill="1" applyBorder="1" applyAlignment="1" applyProtection="1">
      <alignment/>
      <protection/>
    </xf>
    <xf numFmtId="0" fontId="49" fillId="4" borderId="0" xfId="0" applyNumberFormat="1" applyFont="1" applyFill="1" applyBorder="1" applyAlignment="1" applyProtection="1">
      <alignment wrapText="1"/>
      <protection/>
    </xf>
    <xf numFmtId="0" fontId="49" fillId="4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1" fillId="4" borderId="0" xfId="0" applyNumberFormat="1" applyFont="1" applyFill="1" applyBorder="1" applyAlignment="1" applyProtection="1">
      <alignment/>
      <protection/>
    </xf>
    <xf numFmtId="2" fontId="49" fillId="4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6" fontId="49" fillId="4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19"/>
  <sheetViews>
    <sheetView tabSelected="1" view="pageBreakPreview" zoomScale="75" zoomScaleSheetLayoutView="75" zoomScalePageLayoutView="0" workbookViewId="0" topLeftCell="A1">
      <selection activeCell="L5" sqref="L5:N5"/>
    </sheetView>
  </sheetViews>
  <sheetFormatPr defaultColWidth="9.140625" defaultRowHeight="12.75"/>
  <cols>
    <col min="1" max="1" width="13.7109375" style="6" customWidth="1"/>
    <col min="2" max="2" width="12.421875" style="6" customWidth="1"/>
    <col min="3" max="3" width="17.140625" style="6" customWidth="1"/>
    <col min="4" max="4" width="16.00390625" style="6" customWidth="1"/>
    <col min="5" max="5" width="15.7109375" style="75" customWidth="1"/>
    <col min="6" max="6" width="13.7109375" style="75" customWidth="1"/>
    <col min="7" max="7" width="15.00390625" style="6" customWidth="1"/>
    <col min="8" max="8" width="11.00390625" style="6" customWidth="1"/>
    <col min="9" max="9" width="14.421875" style="6" customWidth="1"/>
    <col min="10" max="10" width="14.8515625" style="75" customWidth="1"/>
    <col min="11" max="11" width="14.00390625" style="6" customWidth="1"/>
    <col min="12" max="12" width="10.8515625" style="6" customWidth="1"/>
    <col min="13" max="13" width="14.8515625" style="6" customWidth="1"/>
    <col min="14" max="14" width="13.8515625" style="75" customWidth="1"/>
    <col min="15" max="15" width="9.7109375" style="6" hidden="1" customWidth="1"/>
    <col min="16" max="16" width="16.28125" style="6" customWidth="1"/>
    <col min="17" max="19" width="13.8515625" style="6" customWidth="1"/>
    <col min="20" max="21" width="11.421875" style="6" bestFit="1" customWidth="1"/>
    <col min="22" max="16384" width="9.140625" style="6" customWidth="1"/>
  </cols>
  <sheetData>
    <row r="1" ht="12.75"/>
    <row r="2" spans="12:14" ht="12.75" customHeight="1">
      <c r="L2" s="210" t="s">
        <v>160</v>
      </c>
      <c r="M2" s="210"/>
      <c r="N2" s="210"/>
    </row>
    <row r="3" spans="1:17" ht="15" customHeight="1">
      <c r="A3" s="1" t="s">
        <v>0</v>
      </c>
      <c r="B3" s="1"/>
      <c r="C3" s="2"/>
      <c r="D3" s="3"/>
      <c r="E3" s="81"/>
      <c r="F3" s="81"/>
      <c r="G3" s="76"/>
      <c r="H3" s="3"/>
      <c r="I3" s="3"/>
      <c r="J3" s="3"/>
      <c r="K3" s="3"/>
      <c r="L3" s="210"/>
      <c r="M3" s="210"/>
      <c r="N3" s="210"/>
      <c r="O3" s="4"/>
      <c r="P3" s="4"/>
      <c r="Q3" s="5"/>
    </row>
    <row r="4" spans="1:17" ht="15">
      <c r="A4" s="1"/>
      <c r="B4" s="1"/>
      <c r="C4" s="2"/>
      <c r="D4" s="3"/>
      <c r="E4" s="81"/>
      <c r="F4" s="81"/>
      <c r="G4" s="3"/>
      <c r="H4" s="3"/>
      <c r="I4" s="3"/>
      <c r="J4" s="3"/>
      <c r="K4" s="3"/>
      <c r="L4" s="210"/>
      <c r="M4" s="210"/>
      <c r="N4" s="210"/>
      <c r="O4" s="4"/>
      <c r="P4" s="4"/>
      <c r="Q4" s="5"/>
    </row>
    <row r="5" spans="1:17" ht="15" customHeight="1">
      <c r="A5" s="1"/>
      <c r="B5" s="1"/>
      <c r="C5" s="2"/>
      <c r="D5" s="3"/>
      <c r="E5" s="81"/>
      <c r="F5" s="82"/>
      <c r="G5" s="76"/>
      <c r="H5" s="3"/>
      <c r="I5" s="3"/>
      <c r="J5" s="3"/>
      <c r="K5" s="3"/>
      <c r="L5" s="210" t="s">
        <v>159</v>
      </c>
      <c r="M5" s="210"/>
      <c r="N5" s="210"/>
      <c r="O5" s="4"/>
      <c r="P5" s="4"/>
      <c r="Q5" s="5"/>
    </row>
    <row r="6" spans="1:17" ht="28.5" customHeight="1">
      <c r="A6" s="188" t="s">
        <v>135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5"/>
    </row>
    <row r="7" spans="1:17" ht="12.75" customHeight="1" thickBot="1">
      <c r="A7" s="7"/>
      <c r="B7" s="7"/>
      <c r="C7" s="8"/>
      <c r="D7" s="7"/>
      <c r="E7" s="7"/>
      <c r="F7" s="83"/>
      <c r="G7" s="7"/>
      <c r="H7" s="7"/>
      <c r="I7" s="9"/>
      <c r="J7" s="10"/>
      <c r="K7" s="10"/>
      <c r="L7" s="10"/>
      <c r="M7" s="10"/>
      <c r="N7" s="10"/>
      <c r="O7" s="10"/>
      <c r="P7" s="11" t="s">
        <v>1</v>
      </c>
      <c r="Q7" s="5"/>
    </row>
    <row r="8" spans="1:17" ht="12.75">
      <c r="A8" s="189" t="s">
        <v>2</v>
      </c>
      <c r="B8" s="191" t="s">
        <v>3</v>
      </c>
      <c r="C8" s="194" t="s">
        <v>4</v>
      </c>
      <c r="D8" s="198" t="s">
        <v>5</v>
      </c>
      <c r="E8" s="199"/>
      <c r="F8" s="199"/>
      <c r="G8" s="199"/>
      <c r="H8" s="199"/>
      <c r="I8" s="201" t="s">
        <v>6</v>
      </c>
      <c r="J8" s="202"/>
      <c r="K8" s="202"/>
      <c r="L8" s="202"/>
      <c r="M8" s="202"/>
      <c r="N8" s="202"/>
      <c r="O8" s="202"/>
      <c r="P8" s="205" t="s">
        <v>7</v>
      </c>
      <c r="Q8" s="5"/>
    </row>
    <row r="9" spans="1:18" ht="12.75">
      <c r="A9" s="190"/>
      <c r="B9" s="192"/>
      <c r="C9" s="195"/>
      <c r="D9" s="200"/>
      <c r="E9" s="200"/>
      <c r="F9" s="200"/>
      <c r="G9" s="200"/>
      <c r="H9" s="200"/>
      <c r="I9" s="203"/>
      <c r="J9" s="204"/>
      <c r="K9" s="204"/>
      <c r="L9" s="204"/>
      <c r="M9" s="204"/>
      <c r="N9" s="204"/>
      <c r="O9" s="204"/>
      <c r="P9" s="206"/>
      <c r="Q9" s="5"/>
      <c r="R9" s="6" t="s">
        <v>8</v>
      </c>
    </row>
    <row r="10" spans="1:17" ht="4.5" customHeight="1">
      <c r="A10" s="190"/>
      <c r="B10" s="192"/>
      <c r="C10" s="195"/>
      <c r="D10" s="200"/>
      <c r="E10" s="200"/>
      <c r="F10" s="200"/>
      <c r="G10" s="200"/>
      <c r="H10" s="200"/>
      <c r="I10" s="203"/>
      <c r="J10" s="204"/>
      <c r="K10" s="204"/>
      <c r="L10" s="204"/>
      <c r="M10" s="204"/>
      <c r="N10" s="204"/>
      <c r="O10" s="204"/>
      <c r="P10" s="206"/>
      <c r="Q10" s="5"/>
    </row>
    <row r="11" spans="1:17" ht="12.75" hidden="1">
      <c r="A11" s="190"/>
      <c r="B11" s="192"/>
      <c r="C11" s="195"/>
      <c r="D11" s="200"/>
      <c r="E11" s="200"/>
      <c r="F11" s="200"/>
      <c r="G11" s="200"/>
      <c r="H11" s="200"/>
      <c r="I11" s="203"/>
      <c r="J11" s="204"/>
      <c r="K11" s="204"/>
      <c r="L11" s="204"/>
      <c r="M11" s="204"/>
      <c r="N11" s="204"/>
      <c r="O11" s="204"/>
      <c r="P11" s="206"/>
      <c r="Q11" s="5"/>
    </row>
    <row r="12" spans="1:17" ht="12.75" hidden="1">
      <c r="A12" s="208" t="s">
        <v>9</v>
      </c>
      <c r="B12" s="192"/>
      <c r="C12" s="196"/>
      <c r="D12" s="200"/>
      <c r="E12" s="200"/>
      <c r="F12" s="200"/>
      <c r="G12" s="200"/>
      <c r="H12" s="200"/>
      <c r="I12" s="203"/>
      <c r="J12" s="204"/>
      <c r="K12" s="204"/>
      <c r="L12" s="204"/>
      <c r="M12" s="204"/>
      <c r="N12" s="204"/>
      <c r="O12" s="204"/>
      <c r="P12" s="206"/>
      <c r="Q12" s="5"/>
    </row>
    <row r="13" spans="1:17" ht="15.75">
      <c r="A13" s="208"/>
      <c r="B13" s="192"/>
      <c r="C13" s="196"/>
      <c r="D13" s="184" t="s">
        <v>10</v>
      </c>
      <c r="E13" s="186" t="s">
        <v>11</v>
      </c>
      <c r="F13" s="184" t="s">
        <v>12</v>
      </c>
      <c r="G13" s="184"/>
      <c r="H13" s="186" t="s">
        <v>13</v>
      </c>
      <c r="I13" s="184" t="s">
        <v>10</v>
      </c>
      <c r="J13" s="186" t="s">
        <v>11</v>
      </c>
      <c r="K13" s="184" t="s">
        <v>12</v>
      </c>
      <c r="L13" s="184"/>
      <c r="M13" s="186" t="s">
        <v>13</v>
      </c>
      <c r="N13" s="84" t="s">
        <v>12</v>
      </c>
      <c r="O13" s="85" t="s">
        <v>14</v>
      </c>
      <c r="P13" s="206"/>
      <c r="Q13" s="5"/>
    </row>
    <row r="14" spans="1:17" ht="24.75" customHeight="1">
      <c r="A14" s="208"/>
      <c r="B14" s="192"/>
      <c r="C14" s="196"/>
      <c r="D14" s="184"/>
      <c r="E14" s="186"/>
      <c r="F14" s="184" t="s">
        <v>15</v>
      </c>
      <c r="G14" s="184" t="s">
        <v>16</v>
      </c>
      <c r="H14" s="186"/>
      <c r="I14" s="184"/>
      <c r="J14" s="186"/>
      <c r="K14" s="184" t="s">
        <v>15</v>
      </c>
      <c r="L14" s="184" t="s">
        <v>16</v>
      </c>
      <c r="M14" s="186"/>
      <c r="N14" s="182" t="s">
        <v>17</v>
      </c>
      <c r="O14" s="86" t="s">
        <v>18</v>
      </c>
      <c r="P14" s="206"/>
      <c r="Q14" s="5"/>
    </row>
    <row r="15" spans="1:17" ht="32.25" customHeight="1" hidden="1" thickBot="1">
      <c r="A15" s="209"/>
      <c r="B15" s="193"/>
      <c r="C15" s="197"/>
      <c r="D15" s="185"/>
      <c r="E15" s="187"/>
      <c r="F15" s="185"/>
      <c r="G15" s="185"/>
      <c r="H15" s="187"/>
      <c r="I15" s="185"/>
      <c r="J15" s="187"/>
      <c r="K15" s="185"/>
      <c r="L15" s="185"/>
      <c r="M15" s="187"/>
      <c r="N15" s="183"/>
      <c r="O15" s="87" t="s">
        <v>19</v>
      </c>
      <c r="P15" s="207"/>
      <c r="Q15" s="5"/>
    </row>
    <row r="16" spans="1:17" ht="32.25" customHeight="1" hidden="1">
      <c r="A16" s="12" t="s">
        <v>20</v>
      </c>
      <c r="B16" s="13"/>
      <c r="C16" s="14" t="s">
        <v>21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</row>
    <row r="17" spans="1:17" ht="32.25" customHeight="1" hidden="1">
      <c r="A17" s="19" t="s">
        <v>22</v>
      </c>
      <c r="B17" s="20"/>
      <c r="C17" s="21" t="s">
        <v>23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24"/>
      <c r="Q17" s="18"/>
    </row>
    <row r="18" spans="1:17" ht="25.5" hidden="1">
      <c r="A18" s="25" t="s">
        <v>24</v>
      </c>
      <c r="B18" s="26" t="s">
        <v>25</v>
      </c>
      <c r="C18" s="27" t="s">
        <v>26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4"/>
      <c r="Q18" s="5"/>
    </row>
    <row r="19" spans="1:17" ht="25.5" hidden="1">
      <c r="A19" s="19" t="s">
        <v>27</v>
      </c>
      <c r="B19" s="20"/>
      <c r="C19" s="21" t="s">
        <v>28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24"/>
      <c r="Q19" s="18"/>
    </row>
    <row r="20" spans="1:17" ht="16.5" hidden="1">
      <c r="A20" s="25" t="s">
        <v>29</v>
      </c>
      <c r="B20" s="26" t="s">
        <v>30</v>
      </c>
      <c r="C20" s="27" t="s">
        <v>31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4"/>
      <c r="Q20" s="5"/>
    </row>
    <row r="21" spans="1:17" ht="63.75" hidden="1">
      <c r="A21" s="25"/>
      <c r="B21" s="26"/>
      <c r="C21" s="27" t="s">
        <v>32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24"/>
      <c r="Q21" s="5"/>
    </row>
    <row r="22" spans="1:17" ht="38.25" hidden="1">
      <c r="A22" s="25"/>
      <c r="B22" s="26"/>
      <c r="C22" s="27" t="s">
        <v>33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4"/>
      <c r="Q22" s="5"/>
    </row>
    <row r="23" spans="1:17" ht="32.25" customHeight="1" hidden="1">
      <c r="A23" s="25" t="s">
        <v>34</v>
      </c>
      <c r="B23" s="26" t="s">
        <v>35</v>
      </c>
      <c r="C23" s="30" t="s">
        <v>36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24"/>
      <c r="Q23" s="5"/>
    </row>
    <row r="24" spans="1:17" ht="63.75" hidden="1">
      <c r="A24" s="25"/>
      <c r="B24" s="26"/>
      <c r="C24" s="27" t="s">
        <v>32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24"/>
      <c r="Q24" s="5"/>
    </row>
    <row r="25" spans="1:17" ht="38.25" hidden="1">
      <c r="A25" s="25"/>
      <c r="B25" s="26"/>
      <c r="C25" s="27" t="s">
        <v>33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4"/>
      <c r="Q25" s="5"/>
    </row>
    <row r="26" spans="1:17" ht="25.5" hidden="1">
      <c r="A26" s="25" t="s">
        <v>37</v>
      </c>
      <c r="B26" s="26" t="s">
        <v>38</v>
      </c>
      <c r="C26" s="27" t="s">
        <v>39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4"/>
      <c r="Q26" s="5"/>
    </row>
    <row r="27" spans="1:17" ht="51" hidden="1">
      <c r="A27" s="19" t="s">
        <v>40</v>
      </c>
      <c r="B27" s="26"/>
      <c r="C27" s="21" t="s">
        <v>41</v>
      </c>
      <c r="D27" s="22"/>
      <c r="E27" s="22"/>
      <c r="F27" s="22"/>
      <c r="G27" s="22"/>
      <c r="H27" s="22"/>
      <c r="I27" s="28"/>
      <c r="J27" s="22"/>
      <c r="K27" s="22"/>
      <c r="L27" s="22"/>
      <c r="M27" s="22"/>
      <c r="N27" s="22"/>
      <c r="O27" s="23"/>
      <c r="P27" s="24"/>
      <c r="Q27" s="18"/>
    </row>
    <row r="28" spans="1:17" ht="32.25" customHeight="1" hidden="1">
      <c r="A28" s="25" t="s">
        <v>42</v>
      </c>
      <c r="B28" s="26" t="s">
        <v>43</v>
      </c>
      <c r="C28" s="27" t="s">
        <v>44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24"/>
      <c r="Q28" s="5"/>
    </row>
    <row r="29" spans="1:17" ht="51" hidden="1">
      <c r="A29" s="25" t="s">
        <v>45</v>
      </c>
      <c r="B29" s="26" t="s">
        <v>46</v>
      </c>
      <c r="C29" s="27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4"/>
      <c r="Q29" s="5"/>
    </row>
    <row r="30" spans="1:17" ht="38.25" hidden="1">
      <c r="A30" s="25" t="s">
        <v>48</v>
      </c>
      <c r="B30" s="26" t="s">
        <v>49</v>
      </c>
      <c r="C30" s="27" t="s">
        <v>50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24"/>
      <c r="Q30" s="5"/>
    </row>
    <row r="31" spans="1:17" ht="51" hidden="1">
      <c r="A31" s="25" t="s">
        <v>51</v>
      </c>
      <c r="B31" s="26" t="s">
        <v>49</v>
      </c>
      <c r="C31" s="27" t="s">
        <v>52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24"/>
      <c r="Q31" s="5"/>
    </row>
    <row r="32" spans="1:17" ht="63.75" hidden="1">
      <c r="A32" s="25" t="s">
        <v>53</v>
      </c>
      <c r="B32" s="26" t="s">
        <v>49</v>
      </c>
      <c r="C32" s="27" t="s">
        <v>54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24"/>
      <c r="Q32" s="5"/>
    </row>
    <row r="33" spans="1:17" ht="38.25" hidden="1">
      <c r="A33" s="19">
        <v>100000</v>
      </c>
      <c r="B33" s="26"/>
      <c r="C33" s="21" t="s">
        <v>55</v>
      </c>
      <c r="D33" s="22"/>
      <c r="E33" s="22"/>
      <c r="F33" s="22"/>
      <c r="G33" s="22"/>
      <c r="H33" s="22"/>
      <c r="I33" s="28"/>
      <c r="J33" s="22"/>
      <c r="K33" s="22"/>
      <c r="L33" s="22"/>
      <c r="M33" s="22"/>
      <c r="N33" s="22"/>
      <c r="O33" s="23"/>
      <c r="P33" s="24"/>
      <c r="Q33" s="18"/>
    </row>
    <row r="34" spans="1:17" ht="51" hidden="1">
      <c r="A34" s="31" t="s">
        <v>56</v>
      </c>
      <c r="B34" s="26" t="s">
        <v>57</v>
      </c>
      <c r="C34" s="27" t="s">
        <v>58</v>
      </c>
      <c r="D34" s="28"/>
      <c r="E34" s="28"/>
      <c r="F34" s="28"/>
      <c r="G34" s="28"/>
      <c r="H34" s="28"/>
      <c r="I34" s="22"/>
      <c r="J34" s="28"/>
      <c r="K34" s="28"/>
      <c r="L34" s="28"/>
      <c r="M34" s="28"/>
      <c r="N34" s="28"/>
      <c r="O34" s="29"/>
      <c r="P34" s="24"/>
      <c r="Q34" s="5"/>
    </row>
    <row r="35" spans="1:17" ht="32.25" customHeight="1" hidden="1">
      <c r="A35" s="31" t="s">
        <v>59</v>
      </c>
      <c r="B35" s="26" t="s">
        <v>60</v>
      </c>
      <c r="C35" s="32" t="s">
        <v>61</v>
      </c>
      <c r="D35" s="28"/>
      <c r="E35" s="28"/>
      <c r="F35" s="28"/>
      <c r="G35" s="28"/>
      <c r="H35" s="28"/>
      <c r="I35" s="22"/>
      <c r="J35" s="28"/>
      <c r="K35" s="28"/>
      <c r="L35" s="28"/>
      <c r="M35" s="28"/>
      <c r="N35" s="28"/>
      <c r="O35" s="29"/>
      <c r="P35" s="24"/>
      <c r="Q35" s="5"/>
    </row>
    <row r="36" spans="1:17" ht="25.5" hidden="1">
      <c r="A36" s="25">
        <v>100203</v>
      </c>
      <c r="B36" s="26" t="s">
        <v>60</v>
      </c>
      <c r="C36" s="27" t="s">
        <v>62</v>
      </c>
      <c r="D36" s="28"/>
      <c r="E36" s="28"/>
      <c r="F36" s="28"/>
      <c r="G36" s="28"/>
      <c r="H36" s="28"/>
      <c r="I36" s="22"/>
      <c r="J36" s="28"/>
      <c r="K36" s="28"/>
      <c r="L36" s="28"/>
      <c r="M36" s="28"/>
      <c r="N36" s="28"/>
      <c r="O36" s="29"/>
      <c r="P36" s="24"/>
      <c r="Q36" s="5"/>
    </row>
    <row r="37" spans="1:17" ht="32.25" customHeight="1" hidden="1">
      <c r="A37" s="25" t="s">
        <v>63</v>
      </c>
      <c r="B37" s="26" t="s">
        <v>60</v>
      </c>
      <c r="C37" s="33" t="s">
        <v>64</v>
      </c>
      <c r="D37" s="28"/>
      <c r="E37" s="28"/>
      <c r="F37" s="28"/>
      <c r="G37" s="28"/>
      <c r="H37" s="28"/>
      <c r="I37" s="22"/>
      <c r="J37" s="28"/>
      <c r="K37" s="28"/>
      <c r="L37" s="28"/>
      <c r="M37" s="28"/>
      <c r="N37" s="28"/>
      <c r="O37" s="29"/>
      <c r="P37" s="24"/>
      <c r="Q37" s="5"/>
    </row>
    <row r="38" spans="1:17" ht="25.5" hidden="1">
      <c r="A38" s="19">
        <v>120000</v>
      </c>
      <c r="B38" s="26"/>
      <c r="C38" s="21" t="s">
        <v>65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  <c r="P38" s="24"/>
      <c r="Q38" s="18"/>
    </row>
    <row r="39" spans="1:17" ht="25.5" hidden="1">
      <c r="A39" s="31">
        <v>120100</v>
      </c>
      <c r="B39" s="26" t="s">
        <v>66</v>
      </c>
      <c r="C39" s="34" t="s">
        <v>67</v>
      </c>
      <c r="D39" s="28"/>
      <c r="E39" s="28"/>
      <c r="F39" s="28"/>
      <c r="G39" s="28"/>
      <c r="H39" s="28"/>
      <c r="I39" s="22"/>
      <c r="J39" s="28"/>
      <c r="K39" s="28"/>
      <c r="L39" s="28"/>
      <c r="M39" s="28"/>
      <c r="N39" s="28"/>
      <c r="O39" s="29"/>
      <c r="P39" s="24"/>
      <c r="Q39" s="5"/>
    </row>
    <row r="40" spans="1:17" ht="32.25" customHeight="1" hidden="1">
      <c r="A40" s="25">
        <v>120201</v>
      </c>
      <c r="B40" s="26" t="s">
        <v>66</v>
      </c>
      <c r="C40" s="27" t="s">
        <v>68</v>
      </c>
      <c r="D40" s="28"/>
      <c r="E40" s="28"/>
      <c r="F40" s="28"/>
      <c r="G40" s="28"/>
      <c r="H40" s="28"/>
      <c r="I40" s="22"/>
      <c r="J40" s="28"/>
      <c r="K40" s="28"/>
      <c r="L40" s="28"/>
      <c r="M40" s="28"/>
      <c r="N40" s="28"/>
      <c r="O40" s="29"/>
      <c r="P40" s="24"/>
      <c r="Q40" s="5"/>
    </row>
    <row r="41" spans="1:17" ht="16.5" hidden="1">
      <c r="A41" s="19">
        <v>150000</v>
      </c>
      <c r="B41" s="26"/>
      <c r="C41" s="21" t="s">
        <v>69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24"/>
      <c r="Q41" s="5"/>
    </row>
    <row r="42" spans="1:17" ht="25.5" hidden="1">
      <c r="A42" s="25">
        <v>150101</v>
      </c>
      <c r="B42" s="26" t="s">
        <v>70</v>
      </c>
      <c r="C42" s="27" t="s">
        <v>71</v>
      </c>
      <c r="D42" s="28"/>
      <c r="E42" s="28"/>
      <c r="F42" s="28"/>
      <c r="G42" s="28"/>
      <c r="H42" s="28"/>
      <c r="I42" s="22"/>
      <c r="J42" s="28"/>
      <c r="K42" s="28"/>
      <c r="L42" s="28"/>
      <c r="M42" s="28"/>
      <c r="N42" s="28"/>
      <c r="O42" s="29"/>
      <c r="P42" s="24"/>
      <c r="Q42" s="5"/>
    </row>
    <row r="43" spans="1:17" ht="51" hidden="1">
      <c r="A43" s="25" t="s">
        <v>72</v>
      </c>
      <c r="B43" s="26" t="s">
        <v>73</v>
      </c>
      <c r="C43" s="27" t="s">
        <v>74</v>
      </c>
      <c r="D43" s="28"/>
      <c r="E43" s="28"/>
      <c r="F43" s="28"/>
      <c r="G43" s="28"/>
      <c r="H43" s="28"/>
      <c r="I43" s="22"/>
      <c r="J43" s="28"/>
      <c r="K43" s="28"/>
      <c r="L43" s="28"/>
      <c r="M43" s="28"/>
      <c r="N43" s="28"/>
      <c r="O43" s="29"/>
      <c r="P43" s="24"/>
      <c r="Q43" s="5"/>
    </row>
    <row r="44" spans="1:17" ht="32.25" customHeight="1" hidden="1">
      <c r="A44" s="19" t="s">
        <v>75</v>
      </c>
      <c r="B44" s="26"/>
      <c r="C44" s="21" t="s">
        <v>76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  <c r="P44" s="24"/>
      <c r="Q44" s="18"/>
    </row>
    <row r="45" spans="1:17" ht="16.5" hidden="1">
      <c r="A45" s="25" t="s">
        <v>77</v>
      </c>
      <c r="B45" s="26" t="s">
        <v>78</v>
      </c>
      <c r="C45" s="34" t="s">
        <v>79</v>
      </c>
      <c r="D45" s="28"/>
      <c r="E45" s="28"/>
      <c r="F45" s="28"/>
      <c r="G45" s="28"/>
      <c r="H45" s="28"/>
      <c r="I45" s="22"/>
      <c r="J45" s="28"/>
      <c r="K45" s="28"/>
      <c r="L45" s="28"/>
      <c r="M45" s="28"/>
      <c r="N45" s="28"/>
      <c r="O45" s="29"/>
      <c r="P45" s="24"/>
      <c r="Q45" s="5"/>
    </row>
    <row r="46" spans="1:17" ht="76.5" hidden="1">
      <c r="A46" s="19">
        <v>170000</v>
      </c>
      <c r="B46" s="26"/>
      <c r="C46" s="21" t="s">
        <v>80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3"/>
      <c r="P46" s="24"/>
      <c r="Q46" s="18"/>
    </row>
    <row r="47" spans="1:17" ht="114.75" hidden="1">
      <c r="A47" s="25">
        <v>170703</v>
      </c>
      <c r="B47" s="26" t="s">
        <v>81</v>
      </c>
      <c r="C47" s="27" t="s">
        <v>82</v>
      </c>
      <c r="D47" s="28"/>
      <c r="E47" s="28"/>
      <c r="F47" s="28"/>
      <c r="G47" s="28"/>
      <c r="H47" s="28"/>
      <c r="I47" s="22"/>
      <c r="J47" s="28"/>
      <c r="K47" s="28"/>
      <c r="L47" s="28"/>
      <c r="M47" s="28"/>
      <c r="N47" s="28"/>
      <c r="O47" s="29"/>
      <c r="P47" s="24"/>
      <c r="Q47" s="5"/>
    </row>
    <row r="48" spans="1:17" ht="51" hidden="1">
      <c r="A48" s="19">
        <v>180000</v>
      </c>
      <c r="B48" s="26"/>
      <c r="C48" s="21" t="s">
        <v>83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3"/>
      <c r="P48" s="24"/>
      <c r="Q48" s="18"/>
    </row>
    <row r="49" spans="1:17" ht="32.25" customHeight="1" hidden="1">
      <c r="A49" s="25">
        <v>180409</v>
      </c>
      <c r="B49" s="26" t="s">
        <v>70</v>
      </c>
      <c r="C49" s="27" t="s">
        <v>84</v>
      </c>
      <c r="D49" s="28"/>
      <c r="E49" s="28"/>
      <c r="F49" s="28"/>
      <c r="G49" s="28"/>
      <c r="H49" s="28"/>
      <c r="I49" s="22"/>
      <c r="J49" s="28"/>
      <c r="K49" s="28"/>
      <c r="L49" s="28"/>
      <c r="M49" s="28"/>
      <c r="N49" s="28"/>
      <c r="O49" s="29"/>
      <c r="P49" s="24"/>
      <c r="Q49" s="5"/>
    </row>
    <row r="50" spans="1:17" ht="16.5" hidden="1">
      <c r="A50" s="31"/>
      <c r="B50" s="26"/>
      <c r="C50" s="88"/>
      <c r="D50" s="22"/>
      <c r="E50" s="22"/>
      <c r="F50" s="28"/>
      <c r="G50" s="28"/>
      <c r="H50" s="28"/>
      <c r="I50" s="22"/>
      <c r="J50" s="28"/>
      <c r="K50" s="28"/>
      <c r="L50" s="28"/>
      <c r="M50" s="22"/>
      <c r="N50" s="22"/>
      <c r="O50" s="23"/>
      <c r="P50" s="24"/>
      <c r="Q50" s="5"/>
    </row>
    <row r="51" spans="1:17" ht="16.5" hidden="1">
      <c r="A51" s="31"/>
      <c r="B51" s="26"/>
      <c r="C51" s="89"/>
      <c r="D51" s="28"/>
      <c r="E51" s="28"/>
      <c r="F51" s="28"/>
      <c r="G51" s="28"/>
      <c r="H51" s="28"/>
      <c r="I51" s="22"/>
      <c r="J51" s="28"/>
      <c r="K51" s="28"/>
      <c r="L51" s="28"/>
      <c r="M51" s="28"/>
      <c r="N51" s="28"/>
      <c r="O51" s="29"/>
      <c r="P51" s="24"/>
      <c r="Q51" s="5"/>
    </row>
    <row r="52" spans="1:17" ht="16.5" hidden="1">
      <c r="A52" s="19">
        <v>240000</v>
      </c>
      <c r="B52" s="26"/>
      <c r="C52" s="21" t="s">
        <v>85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3"/>
      <c r="P52" s="24"/>
      <c r="Q52" s="18"/>
    </row>
    <row r="53" spans="1:17" ht="32.25" customHeight="1" hidden="1">
      <c r="A53" s="25">
        <v>240601</v>
      </c>
      <c r="B53" s="26" t="s">
        <v>86</v>
      </c>
      <c r="C53" s="27" t="s">
        <v>87</v>
      </c>
      <c r="D53" s="28"/>
      <c r="E53" s="28"/>
      <c r="F53" s="28"/>
      <c r="G53" s="28"/>
      <c r="H53" s="28"/>
      <c r="I53" s="22"/>
      <c r="J53" s="28"/>
      <c r="K53" s="28"/>
      <c r="L53" s="28"/>
      <c r="M53" s="28"/>
      <c r="N53" s="28"/>
      <c r="O53" s="29"/>
      <c r="P53" s="24"/>
      <c r="Q53" s="5"/>
    </row>
    <row r="54" spans="1:17" ht="38.25" hidden="1">
      <c r="A54" s="19">
        <v>250000</v>
      </c>
      <c r="B54" s="26"/>
      <c r="C54" s="21" t="s">
        <v>88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3"/>
      <c r="P54" s="24"/>
      <c r="Q54" s="18"/>
    </row>
    <row r="55" spans="1:17" ht="17.25" hidden="1" thickBot="1">
      <c r="A55" s="35"/>
      <c r="B55" s="36" t="s">
        <v>89</v>
      </c>
      <c r="C55" s="37" t="s">
        <v>90</v>
      </c>
      <c r="D55" s="38"/>
      <c r="E55" s="38"/>
      <c r="F55" s="38"/>
      <c r="G55" s="38"/>
      <c r="H55" s="38"/>
      <c r="I55" s="39"/>
      <c r="J55" s="38"/>
      <c r="K55" s="38"/>
      <c r="L55" s="38"/>
      <c r="M55" s="38"/>
      <c r="N55" s="38"/>
      <c r="O55" s="40"/>
      <c r="P55" s="41"/>
      <c r="Q55" s="5"/>
    </row>
    <row r="56" spans="1:17" ht="32.25" customHeight="1" hidden="1">
      <c r="A56" s="62" t="s">
        <v>91</v>
      </c>
      <c r="B56" s="90" t="s">
        <v>70</v>
      </c>
      <c r="C56" s="91" t="s">
        <v>92</v>
      </c>
      <c r="D56" s="92"/>
      <c r="E56" s="92"/>
      <c r="F56" s="92"/>
      <c r="G56" s="92"/>
      <c r="H56" s="92"/>
      <c r="I56" s="63"/>
      <c r="J56" s="92"/>
      <c r="K56" s="92"/>
      <c r="L56" s="92"/>
      <c r="M56" s="92"/>
      <c r="N56" s="92"/>
      <c r="O56" s="93"/>
      <c r="P56" s="17">
        <f>D56+I56</f>
        <v>0</v>
      </c>
      <c r="Q56" s="5"/>
    </row>
    <row r="57" spans="1:17" ht="38.25" hidden="1">
      <c r="A57" s="19" t="s">
        <v>93</v>
      </c>
      <c r="B57" s="26"/>
      <c r="C57" s="21" t="s">
        <v>94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42"/>
      <c r="P57" s="24"/>
      <c r="Q57" s="18"/>
    </row>
    <row r="58" spans="1:17" ht="25.5" hidden="1">
      <c r="A58" s="19" t="s">
        <v>22</v>
      </c>
      <c r="B58" s="26"/>
      <c r="C58" s="21" t="s">
        <v>23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3"/>
      <c r="P58" s="24"/>
      <c r="Q58" s="18"/>
    </row>
    <row r="59" spans="1:17" ht="25.5" hidden="1">
      <c r="A59" s="25" t="s">
        <v>24</v>
      </c>
      <c r="B59" s="26" t="s">
        <v>25</v>
      </c>
      <c r="C59" s="27" t="s">
        <v>26</v>
      </c>
      <c r="D59" s="28"/>
      <c r="E59" s="28"/>
      <c r="F59" s="28"/>
      <c r="G59" s="28"/>
      <c r="H59" s="28"/>
      <c r="I59" s="22"/>
      <c r="J59" s="28"/>
      <c r="K59" s="28"/>
      <c r="L59" s="28"/>
      <c r="M59" s="28"/>
      <c r="N59" s="28"/>
      <c r="O59" s="29"/>
      <c r="P59" s="24"/>
      <c r="Q59" s="5"/>
    </row>
    <row r="60" spans="1:17" ht="16.5" hidden="1">
      <c r="A60" s="19" t="s">
        <v>95</v>
      </c>
      <c r="B60" s="26"/>
      <c r="C60" s="21" t="s">
        <v>96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3"/>
      <c r="P60" s="24"/>
      <c r="Q60" s="18"/>
    </row>
    <row r="61" spans="1:17" ht="25.5" hidden="1">
      <c r="A61" s="25" t="s">
        <v>97</v>
      </c>
      <c r="B61" s="26" t="s">
        <v>98</v>
      </c>
      <c r="C61" s="27" t="s">
        <v>99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/>
      <c r="P61" s="24"/>
      <c r="Q61" s="5"/>
    </row>
    <row r="62" spans="1:17" ht="62.25" customHeight="1">
      <c r="A62" s="107" t="s">
        <v>134</v>
      </c>
      <c r="B62" s="26" t="s">
        <v>100</v>
      </c>
      <c r="C62" s="117" t="s">
        <v>101</v>
      </c>
      <c r="D62" s="43">
        <f>D63+D78+D170+D93+D140</f>
        <v>129394900</v>
      </c>
      <c r="E62" s="43">
        <f>E63+E78+E170+E93+E140</f>
        <v>129394900</v>
      </c>
      <c r="F62" s="43">
        <f>F63+F78+F170+F93+F140</f>
        <v>102315412</v>
      </c>
      <c r="G62" s="43">
        <f>G63+G78+G170+G93+G140</f>
        <v>16359305</v>
      </c>
      <c r="H62" s="43">
        <f>H63+H78+H170+H93+H140</f>
        <v>0</v>
      </c>
      <c r="I62" s="43">
        <f aca="true" t="shared" si="0" ref="I62:P62">I63+I78+I93+I108+I123+I170+I138+I140</f>
        <v>6178746</v>
      </c>
      <c r="J62" s="43">
        <f t="shared" si="0"/>
        <v>2067854</v>
      </c>
      <c r="K62" s="43">
        <f t="shared" si="0"/>
        <v>979636</v>
      </c>
      <c r="L62" s="43">
        <f t="shared" si="0"/>
        <v>28258</v>
      </c>
      <c r="M62" s="43">
        <f t="shared" si="0"/>
        <v>4110892</v>
      </c>
      <c r="N62" s="43">
        <f t="shared" si="0"/>
        <v>3834748</v>
      </c>
      <c r="O62" s="43">
        <f t="shared" si="0"/>
        <v>0</v>
      </c>
      <c r="P62" s="43">
        <f t="shared" si="0"/>
        <v>135573646</v>
      </c>
      <c r="Q62" s="5"/>
    </row>
    <row r="63" spans="1:21" ht="38.25" customHeight="1">
      <c r="A63" s="25" t="s">
        <v>102</v>
      </c>
      <c r="B63" s="121" t="s">
        <v>103</v>
      </c>
      <c r="C63" s="118" t="s">
        <v>104</v>
      </c>
      <c r="D63" s="105">
        <f>E63</f>
        <v>79244400</v>
      </c>
      <c r="E63" s="105">
        <f>E64+E65+E66+E67+E68+E69+E70+E71+E72+E73+E74+E75+E76+E77</f>
        <v>79244400</v>
      </c>
      <c r="F63" s="105">
        <f>F64+F65+F66+F67+F68+F69+F70+F71+F72+F73+F74+F75+F76+F77</f>
        <v>79244400</v>
      </c>
      <c r="G63" s="43">
        <v>0</v>
      </c>
      <c r="H63" s="28">
        <f aca="true" t="shared" si="1" ref="H63:O63">H64+H65+H66+H67+H68+H69+H70+H71+H72+H73+H74+H75+H76+H77</f>
        <v>0</v>
      </c>
      <c r="I63" s="28">
        <f t="shared" si="1"/>
        <v>0</v>
      </c>
      <c r="J63" s="28">
        <f>J64+J65+J66+J67+J68+J69+J70+J71+J72+J73+J74+J75+J76+J77</f>
        <v>0</v>
      </c>
      <c r="K63" s="28">
        <f t="shared" si="1"/>
        <v>0</v>
      </c>
      <c r="L63" s="28">
        <f>L64+L65+L66+L67+L68+L69+L70+L71+L72+L73+L74+L75+L76+L77</f>
        <v>0</v>
      </c>
      <c r="M63" s="28">
        <f t="shared" si="1"/>
        <v>0</v>
      </c>
      <c r="N63" s="28">
        <f t="shared" si="1"/>
        <v>0</v>
      </c>
      <c r="O63" s="29">
        <f t="shared" si="1"/>
        <v>0</v>
      </c>
      <c r="P63" s="45">
        <f>D63+I63+O63</f>
        <v>79244400</v>
      </c>
      <c r="Q63" s="5"/>
      <c r="U63" s="6" t="s">
        <v>105</v>
      </c>
    </row>
    <row r="64" spans="1:17" ht="16.5">
      <c r="A64" s="46" t="s">
        <v>106</v>
      </c>
      <c r="B64" s="26"/>
      <c r="C64" s="27"/>
      <c r="D64" s="103">
        <f>E64</f>
        <v>7584709</v>
      </c>
      <c r="E64" s="106">
        <f aca="true" t="shared" si="2" ref="E64:E77">F64</f>
        <v>7584709</v>
      </c>
      <c r="F64" s="106">
        <f>7590645-5936</f>
        <v>7584709</v>
      </c>
      <c r="G64" s="94">
        <v>0</v>
      </c>
      <c r="H64" s="28"/>
      <c r="I64" s="22">
        <f>J64+M64</f>
        <v>0</v>
      </c>
      <c r="J64" s="28"/>
      <c r="K64" s="28"/>
      <c r="L64" s="28"/>
      <c r="M64" s="22">
        <f>N64</f>
        <v>0</v>
      </c>
      <c r="N64" s="28"/>
      <c r="O64" s="29"/>
      <c r="P64" s="45">
        <f aca="true" t="shared" si="3" ref="P64:P88">D64+I64+O64</f>
        <v>7584709</v>
      </c>
      <c r="Q64" s="5"/>
    </row>
    <row r="65" spans="1:23" ht="16.5">
      <c r="A65" s="46" t="s">
        <v>107</v>
      </c>
      <c r="B65" s="26"/>
      <c r="C65" s="27"/>
      <c r="D65" s="103">
        <f aca="true" t="shared" si="4" ref="D65:D77">E65</f>
        <v>7903666</v>
      </c>
      <c r="E65" s="106">
        <f t="shared" si="2"/>
        <v>7903666</v>
      </c>
      <c r="F65" s="106">
        <f>7905120-1454</f>
        <v>7903666</v>
      </c>
      <c r="G65" s="94">
        <v>0</v>
      </c>
      <c r="H65" s="28"/>
      <c r="I65" s="22">
        <f aca="true" t="shared" si="5" ref="I65:I77">J65+M65</f>
        <v>0</v>
      </c>
      <c r="J65" s="28"/>
      <c r="K65" s="28"/>
      <c r="L65" s="28"/>
      <c r="M65" s="22">
        <f>N65</f>
        <v>0</v>
      </c>
      <c r="N65" s="28"/>
      <c r="O65" s="29"/>
      <c r="P65" s="45">
        <f t="shared" si="3"/>
        <v>7903666</v>
      </c>
      <c r="Q65" s="5"/>
      <c r="T65" s="142" t="s">
        <v>151</v>
      </c>
      <c r="U65" s="142"/>
      <c r="V65" s="6">
        <v>2111</v>
      </c>
      <c r="W65" s="6" t="s">
        <v>152</v>
      </c>
    </row>
    <row r="66" spans="1:17" ht="16.5">
      <c r="A66" s="46" t="s">
        <v>108</v>
      </c>
      <c r="B66" s="26"/>
      <c r="C66" s="27"/>
      <c r="D66" s="103">
        <f t="shared" si="4"/>
        <v>5997313</v>
      </c>
      <c r="E66" s="106">
        <f t="shared" si="2"/>
        <v>5997313</v>
      </c>
      <c r="F66" s="106">
        <f>5997586-273</f>
        <v>5997313</v>
      </c>
      <c r="G66" s="94">
        <v>0</v>
      </c>
      <c r="H66" s="28"/>
      <c r="I66" s="22">
        <f>J66+M66</f>
        <v>0</v>
      </c>
      <c r="J66" s="28"/>
      <c r="K66" s="28"/>
      <c r="L66" s="28"/>
      <c r="M66" s="22">
        <f>N66</f>
        <v>0</v>
      </c>
      <c r="N66" s="28"/>
      <c r="O66" s="29"/>
      <c r="P66" s="45">
        <f t="shared" si="3"/>
        <v>5997313</v>
      </c>
      <c r="Q66" s="5"/>
    </row>
    <row r="67" spans="1:17" ht="18.75">
      <c r="A67" s="46" t="s">
        <v>109</v>
      </c>
      <c r="B67" s="26"/>
      <c r="C67" s="27"/>
      <c r="D67" s="103">
        <f t="shared" si="4"/>
        <v>3391289</v>
      </c>
      <c r="E67" s="106">
        <f t="shared" si="2"/>
        <v>3391289</v>
      </c>
      <c r="F67" s="106">
        <f>3394149-2860</f>
        <v>3391289</v>
      </c>
      <c r="G67" s="94">
        <v>0</v>
      </c>
      <c r="H67" s="28"/>
      <c r="I67" s="22">
        <f t="shared" si="5"/>
        <v>0</v>
      </c>
      <c r="J67" s="28"/>
      <c r="K67" s="28"/>
      <c r="L67" s="28"/>
      <c r="M67" s="22">
        <f aca="true" t="shared" si="6" ref="M67:M77">N67</f>
        <v>0</v>
      </c>
      <c r="N67" s="28"/>
      <c r="O67" s="29"/>
      <c r="P67" s="45">
        <f t="shared" si="3"/>
        <v>3391289</v>
      </c>
      <c r="Q67" s="48"/>
    </row>
    <row r="68" spans="1:17" ht="16.5">
      <c r="A68" s="46" t="s">
        <v>110</v>
      </c>
      <c r="B68" s="26"/>
      <c r="C68" s="27"/>
      <c r="D68" s="103">
        <f t="shared" si="4"/>
        <v>5306190</v>
      </c>
      <c r="E68" s="106">
        <f t="shared" si="2"/>
        <v>5306190</v>
      </c>
      <c r="F68" s="106">
        <f>5306879-689</f>
        <v>5306190</v>
      </c>
      <c r="G68" s="94">
        <v>0</v>
      </c>
      <c r="H68" s="28"/>
      <c r="I68" s="22">
        <f t="shared" si="5"/>
        <v>0</v>
      </c>
      <c r="J68" s="28"/>
      <c r="K68" s="28"/>
      <c r="L68" s="28"/>
      <c r="M68" s="22">
        <f t="shared" si="6"/>
        <v>0</v>
      </c>
      <c r="N68" s="28"/>
      <c r="O68" s="29"/>
      <c r="P68" s="45">
        <f t="shared" si="3"/>
        <v>5306190</v>
      </c>
      <c r="Q68" s="5"/>
    </row>
    <row r="69" spans="1:17" ht="16.5">
      <c r="A69" s="46" t="s">
        <v>111</v>
      </c>
      <c r="B69" s="26"/>
      <c r="C69" s="27"/>
      <c r="D69" s="103">
        <f t="shared" si="4"/>
        <v>5507440</v>
      </c>
      <c r="E69" s="106">
        <f t="shared" si="2"/>
        <v>5507440</v>
      </c>
      <c r="F69" s="106">
        <f>5509374-1934</f>
        <v>5507440</v>
      </c>
      <c r="G69" s="94">
        <v>0</v>
      </c>
      <c r="H69" s="28"/>
      <c r="I69" s="22">
        <f t="shared" si="5"/>
        <v>0</v>
      </c>
      <c r="J69" s="28"/>
      <c r="K69" s="28"/>
      <c r="L69" s="28"/>
      <c r="M69" s="22">
        <f t="shared" si="6"/>
        <v>0</v>
      </c>
      <c r="N69" s="28"/>
      <c r="O69" s="29"/>
      <c r="P69" s="45">
        <f t="shared" si="3"/>
        <v>5507440</v>
      </c>
      <c r="Q69" s="5"/>
    </row>
    <row r="70" spans="1:17" ht="16.5">
      <c r="A70" s="46" t="s">
        <v>112</v>
      </c>
      <c r="B70" s="26"/>
      <c r="C70" s="27"/>
      <c r="D70" s="103">
        <f t="shared" si="4"/>
        <v>5030282</v>
      </c>
      <c r="E70" s="106">
        <f t="shared" si="2"/>
        <v>5030282</v>
      </c>
      <c r="F70" s="106">
        <f>5032347-2065</f>
        <v>5030282</v>
      </c>
      <c r="G70" s="94">
        <v>0</v>
      </c>
      <c r="H70" s="28"/>
      <c r="I70" s="22">
        <f t="shared" si="5"/>
        <v>0</v>
      </c>
      <c r="J70" s="28"/>
      <c r="K70" s="28"/>
      <c r="L70" s="28"/>
      <c r="M70" s="22">
        <f t="shared" si="6"/>
        <v>0</v>
      </c>
      <c r="N70" s="28"/>
      <c r="O70" s="29"/>
      <c r="P70" s="45">
        <f t="shared" si="3"/>
        <v>5030282</v>
      </c>
      <c r="Q70" s="5"/>
    </row>
    <row r="71" spans="1:17" ht="16.5">
      <c r="A71" s="46" t="s">
        <v>113</v>
      </c>
      <c r="B71" s="26"/>
      <c r="C71" s="27"/>
      <c r="D71" s="103">
        <f t="shared" si="4"/>
        <v>9000756</v>
      </c>
      <c r="E71" s="106">
        <f t="shared" si="2"/>
        <v>9000756</v>
      </c>
      <c r="F71" s="106">
        <f>9001946-1190</f>
        <v>9000756</v>
      </c>
      <c r="G71" s="94">
        <v>0</v>
      </c>
      <c r="H71" s="28"/>
      <c r="I71" s="22">
        <f t="shared" si="5"/>
        <v>0</v>
      </c>
      <c r="J71" s="28"/>
      <c r="K71" s="28"/>
      <c r="L71" s="28"/>
      <c r="M71" s="22">
        <f t="shared" si="6"/>
        <v>0</v>
      </c>
      <c r="N71" s="28"/>
      <c r="O71" s="29"/>
      <c r="P71" s="45">
        <f t="shared" si="3"/>
        <v>9000756</v>
      </c>
      <c r="Q71" s="5"/>
    </row>
    <row r="72" spans="1:17" ht="16.5">
      <c r="A72" s="46" t="s">
        <v>114</v>
      </c>
      <c r="B72" s="26"/>
      <c r="C72" s="27"/>
      <c r="D72" s="103">
        <f t="shared" si="4"/>
        <v>8448264</v>
      </c>
      <c r="E72" s="106">
        <f t="shared" si="2"/>
        <v>8448264</v>
      </c>
      <c r="F72" s="106">
        <f>8449770-1506</f>
        <v>8448264</v>
      </c>
      <c r="G72" s="94">
        <v>0</v>
      </c>
      <c r="H72" s="28"/>
      <c r="I72" s="22">
        <f t="shared" si="5"/>
        <v>0</v>
      </c>
      <c r="J72" s="28"/>
      <c r="K72" s="28"/>
      <c r="L72" s="28"/>
      <c r="M72" s="22">
        <f t="shared" si="6"/>
        <v>0</v>
      </c>
      <c r="N72" s="28"/>
      <c r="O72" s="29"/>
      <c r="P72" s="45">
        <f t="shared" si="3"/>
        <v>8448264</v>
      </c>
      <c r="Q72" s="5"/>
    </row>
    <row r="73" spans="1:17" ht="16.5">
      <c r="A73" s="46" t="s">
        <v>115</v>
      </c>
      <c r="B73" s="26"/>
      <c r="C73" s="27"/>
      <c r="D73" s="103">
        <f t="shared" si="4"/>
        <v>8235300</v>
      </c>
      <c r="E73" s="106">
        <f t="shared" si="2"/>
        <v>8235300</v>
      </c>
      <c r="F73" s="106">
        <f>8212010+23290</f>
        <v>8235300</v>
      </c>
      <c r="G73" s="94">
        <v>0</v>
      </c>
      <c r="H73" s="28"/>
      <c r="I73" s="22">
        <f t="shared" si="5"/>
        <v>0</v>
      </c>
      <c r="J73" s="28"/>
      <c r="K73" s="28"/>
      <c r="L73" s="28"/>
      <c r="M73" s="22">
        <f t="shared" si="6"/>
        <v>0</v>
      </c>
      <c r="N73" s="28"/>
      <c r="O73" s="29"/>
      <c r="P73" s="45">
        <f t="shared" si="3"/>
        <v>8235300</v>
      </c>
      <c r="Q73" s="5"/>
    </row>
    <row r="74" spans="1:17" ht="16.5">
      <c r="A74" s="46" t="s">
        <v>116</v>
      </c>
      <c r="B74" s="26"/>
      <c r="C74" s="27"/>
      <c r="D74" s="103">
        <f t="shared" si="4"/>
        <v>3646133</v>
      </c>
      <c r="E74" s="106">
        <f t="shared" si="2"/>
        <v>3646133</v>
      </c>
      <c r="F74" s="106">
        <v>3646133</v>
      </c>
      <c r="G74" s="94">
        <v>0</v>
      </c>
      <c r="H74" s="28"/>
      <c r="I74" s="22">
        <f t="shared" si="5"/>
        <v>0</v>
      </c>
      <c r="J74" s="28"/>
      <c r="K74" s="28"/>
      <c r="L74" s="28"/>
      <c r="M74" s="22">
        <f t="shared" si="6"/>
        <v>0</v>
      </c>
      <c r="N74" s="28"/>
      <c r="O74" s="29"/>
      <c r="P74" s="45">
        <f t="shared" si="3"/>
        <v>3646133</v>
      </c>
      <c r="Q74" s="5"/>
    </row>
    <row r="75" spans="1:17" ht="16.5">
      <c r="A75" s="46" t="s">
        <v>117</v>
      </c>
      <c r="B75" s="26"/>
      <c r="C75" s="27"/>
      <c r="D75" s="103">
        <f t="shared" si="4"/>
        <v>4642601</v>
      </c>
      <c r="E75" s="106">
        <f t="shared" si="2"/>
        <v>4642601</v>
      </c>
      <c r="F75" s="106">
        <f>4645437-2836</f>
        <v>4642601</v>
      </c>
      <c r="G75" s="94">
        <v>0</v>
      </c>
      <c r="H75" s="28"/>
      <c r="I75" s="22">
        <f t="shared" si="5"/>
        <v>0</v>
      </c>
      <c r="J75" s="28"/>
      <c r="K75" s="28"/>
      <c r="L75" s="28"/>
      <c r="M75" s="22">
        <f t="shared" si="6"/>
        <v>0</v>
      </c>
      <c r="N75" s="28"/>
      <c r="O75" s="29"/>
      <c r="P75" s="45">
        <f t="shared" si="3"/>
        <v>4642601</v>
      </c>
      <c r="Q75" s="5"/>
    </row>
    <row r="76" spans="1:17" ht="16.5">
      <c r="A76" s="46" t="s">
        <v>118</v>
      </c>
      <c r="B76" s="26"/>
      <c r="C76" s="27"/>
      <c r="D76" s="103">
        <f t="shared" si="4"/>
        <v>2468901</v>
      </c>
      <c r="E76" s="106">
        <f t="shared" si="2"/>
        <v>2468901</v>
      </c>
      <c r="F76" s="106">
        <f>2469854-953</f>
        <v>2468901</v>
      </c>
      <c r="G76" s="94">
        <v>0</v>
      </c>
      <c r="H76" s="28"/>
      <c r="I76" s="22">
        <f t="shared" si="5"/>
        <v>0</v>
      </c>
      <c r="J76" s="28"/>
      <c r="K76" s="28"/>
      <c r="L76" s="28"/>
      <c r="M76" s="22">
        <f t="shared" si="6"/>
        <v>0</v>
      </c>
      <c r="N76" s="28"/>
      <c r="O76" s="29"/>
      <c r="P76" s="45">
        <f t="shared" si="3"/>
        <v>2468901</v>
      </c>
      <c r="Q76" s="5"/>
    </row>
    <row r="77" spans="1:17" ht="16.5">
      <c r="A77" s="46" t="s">
        <v>119</v>
      </c>
      <c r="B77" s="26"/>
      <c r="C77" s="27"/>
      <c r="D77" s="103">
        <f t="shared" si="4"/>
        <v>2081556</v>
      </c>
      <c r="E77" s="106">
        <f t="shared" si="2"/>
        <v>2081556</v>
      </c>
      <c r="F77" s="106">
        <f>2083150-1594</f>
        <v>2081556</v>
      </c>
      <c r="G77" s="94">
        <v>0</v>
      </c>
      <c r="H77" s="28"/>
      <c r="I77" s="22">
        <f t="shared" si="5"/>
        <v>0</v>
      </c>
      <c r="J77" s="28"/>
      <c r="K77" s="28"/>
      <c r="L77" s="28"/>
      <c r="M77" s="22">
        <f t="shared" si="6"/>
        <v>0</v>
      </c>
      <c r="N77" s="28"/>
      <c r="O77" s="29"/>
      <c r="P77" s="45">
        <f t="shared" si="3"/>
        <v>2081556</v>
      </c>
      <c r="Q77" s="5"/>
    </row>
    <row r="78" spans="1:20" ht="39" customHeight="1">
      <c r="A78" s="25" t="s">
        <v>120</v>
      </c>
      <c r="B78" s="121" t="s">
        <v>136</v>
      </c>
      <c r="C78" s="111" t="s">
        <v>121</v>
      </c>
      <c r="D78" s="104">
        <f>D79+D88</f>
        <v>133133</v>
      </c>
      <c r="E78" s="104">
        <f>E79+E80+E81+E82+E83+E84+E85+E86+E87+E88+E89+E90+E91+E92</f>
        <v>133133</v>
      </c>
      <c r="F78" s="104">
        <f>F79+F80+F81+F82+F83+F84+F85+F86+F87+F88+F89+F90+F91+F92</f>
        <v>111273</v>
      </c>
      <c r="G78" s="22"/>
      <c r="H78" s="22">
        <f aca="true" t="shared" si="7" ref="H78:M78">H79+H80+H81+H82+H83+H84+H85+H86+H87+H88+H89+H90+H91+H92</f>
        <v>0</v>
      </c>
      <c r="I78" s="22">
        <f t="shared" si="7"/>
        <v>78000</v>
      </c>
      <c r="J78" s="28">
        <f t="shared" si="7"/>
        <v>0</v>
      </c>
      <c r="K78" s="28">
        <f t="shared" si="7"/>
        <v>0</v>
      </c>
      <c r="L78" s="28">
        <f t="shared" si="7"/>
        <v>0</v>
      </c>
      <c r="M78" s="22">
        <f t="shared" si="7"/>
        <v>78000</v>
      </c>
      <c r="N78" s="22">
        <f>N79+N80+N81+N82+N83+N84+N85+N86+N87+N88+N89+N90+N91+N92</f>
        <v>78000</v>
      </c>
      <c r="O78" s="29">
        <f>O79+O80+O81+O82+O83+O84+O85+O86+O87+O88+O89+O90+O91+O92</f>
        <v>0</v>
      </c>
      <c r="P78" s="45">
        <f t="shared" si="3"/>
        <v>211133</v>
      </c>
      <c r="Q78" s="5"/>
      <c r="T78" s="6" t="s">
        <v>139</v>
      </c>
    </row>
    <row r="79" spans="1:20" ht="15.75" customHeight="1">
      <c r="A79" s="46" t="s">
        <v>106</v>
      </c>
      <c r="B79" s="26"/>
      <c r="C79" s="116"/>
      <c r="D79" s="102">
        <f>90755</f>
        <v>90755</v>
      </c>
      <c r="E79" s="102">
        <f>F79+66573-50000</f>
        <v>90755</v>
      </c>
      <c r="F79" s="102">
        <f>74182</f>
        <v>74182</v>
      </c>
      <c r="G79" s="28"/>
      <c r="H79" s="28"/>
      <c r="I79" s="28">
        <f>J79+M79</f>
        <v>50000</v>
      </c>
      <c r="J79" s="28"/>
      <c r="K79" s="28"/>
      <c r="L79" s="28"/>
      <c r="M79" s="28">
        <v>50000</v>
      </c>
      <c r="N79" s="28">
        <f>M79</f>
        <v>50000</v>
      </c>
      <c r="O79" s="29"/>
      <c r="P79" s="45">
        <f t="shared" si="3"/>
        <v>140755</v>
      </c>
      <c r="Q79" s="5"/>
      <c r="T79" s="6" t="s">
        <v>140</v>
      </c>
    </row>
    <row r="80" spans="1:17" ht="15.75" customHeight="1" hidden="1">
      <c r="A80" s="46" t="s">
        <v>107</v>
      </c>
      <c r="B80" s="26"/>
      <c r="C80" s="27"/>
      <c r="D80" s="100"/>
      <c r="E80" s="103"/>
      <c r="F80" s="100"/>
      <c r="G80" s="28"/>
      <c r="H80" s="28"/>
      <c r="I80" s="28">
        <f>J80+M80</f>
        <v>0</v>
      </c>
      <c r="J80" s="28"/>
      <c r="K80" s="28"/>
      <c r="L80" s="28"/>
      <c r="M80" s="28">
        <f>N80</f>
        <v>0</v>
      </c>
      <c r="N80" s="28"/>
      <c r="O80" s="29"/>
      <c r="P80" s="45">
        <f t="shared" si="3"/>
        <v>0</v>
      </c>
      <c r="Q80" s="5"/>
    </row>
    <row r="81" spans="1:17" ht="15.75" customHeight="1" hidden="1">
      <c r="A81" s="46" t="s">
        <v>108</v>
      </c>
      <c r="B81" s="26"/>
      <c r="C81" s="27"/>
      <c r="D81" s="100"/>
      <c r="E81" s="103"/>
      <c r="F81" s="100"/>
      <c r="G81" s="28"/>
      <c r="H81" s="28"/>
      <c r="I81" s="28">
        <f>J81+M81</f>
        <v>0</v>
      </c>
      <c r="J81" s="28"/>
      <c r="K81" s="28"/>
      <c r="L81" s="28"/>
      <c r="M81" s="28">
        <v>0</v>
      </c>
      <c r="N81" s="28">
        <v>0</v>
      </c>
      <c r="O81" s="29"/>
      <c r="P81" s="45">
        <f t="shared" si="3"/>
        <v>0</v>
      </c>
      <c r="Q81" s="5"/>
    </row>
    <row r="82" spans="1:17" ht="15.75" customHeight="1" hidden="1">
      <c r="A82" s="46" t="s">
        <v>109</v>
      </c>
      <c r="B82" s="26"/>
      <c r="C82" s="27"/>
      <c r="D82" s="100"/>
      <c r="E82" s="103"/>
      <c r="F82" s="100"/>
      <c r="G82" s="28"/>
      <c r="H82" s="28"/>
      <c r="I82" s="28">
        <f aca="true" t="shared" si="8" ref="I82:I92">J82+M82</f>
        <v>0</v>
      </c>
      <c r="J82" s="28"/>
      <c r="K82" s="28"/>
      <c r="L82" s="28"/>
      <c r="M82" s="28">
        <f>N82</f>
        <v>0</v>
      </c>
      <c r="N82" s="28"/>
      <c r="O82" s="29"/>
      <c r="P82" s="45">
        <f t="shared" si="3"/>
        <v>0</v>
      </c>
      <c r="Q82" s="5"/>
    </row>
    <row r="83" spans="1:17" ht="15.75" customHeight="1" hidden="1">
      <c r="A83" s="46" t="s">
        <v>110</v>
      </c>
      <c r="B83" s="26"/>
      <c r="C83" s="27"/>
      <c r="D83" s="100"/>
      <c r="E83" s="100"/>
      <c r="F83" s="100"/>
      <c r="G83" s="28"/>
      <c r="H83" s="28"/>
      <c r="I83" s="28">
        <f t="shared" si="8"/>
        <v>0</v>
      </c>
      <c r="J83" s="28"/>
      <c r="K83" s="28"/>
      <c r="L83" s="28"/>
      <c r="M83" s="28">
        <f>N83</f>
        <v>0</v>
      </c>
      <c r="N83" s="28"/>
      <c r="O83" s="29"/>
      <c r="P83" s="45">
        <f t="shared" si="3"/>
        <v>0</v>
      </c>
      <c r="Q83" s="5"/>
    </row>
    <row r="84" spans="1:17" ht="15.75" customHeight="1" hidden="1">
      <c r="A84" s="46" t="s">
        <v>111</v>
      </c>
      <c r="B84" s="26"/>
      <c r="C84" s="27"/>
      <c r="D84" s="100">
        <v>0</v>
      </c>
      <c r="E84" s="100">
        <v>0</v>
      </c>
      <c r="F84" s="100"/>
      <c r="G84" s="28"/>
      <c r="H84" s="28"/>
      <c r="I84" s="28">
        <f t="shared" si="8"/>
        <v>0</v>
      </c>
      <c r="J84" s="28"/>
      <c r="K84" s="28"/>
      <c r="L84" s="28"/>
      <c r="M84" s="28">
        <v>0</v>
      </c>
      <c r="N84" s="28">
        <v>0</v>
      </c>
      <c r="O84" s="29"/>
      <c r="P84" s="45">
        <f t="shared" si="3"/>
        <v>0</v>
      </c>
      <c r="Q84" s="5"/>
    </row>
    <row r="85" spans="1:17" ht="15.75" customHeight="1" hidden="1">
      <c r="A85" s="46" t="s">
        <v>112</v>
      </c>
      <c r="B85" s="26"/>
      <c r="C85" s="27"/>
      <c r="D85" s="100"/>
      <c r="E85" s="100"/>
      <c r="F85" s="100"/>
      <c r="G85" s="28"/>
      <c r="H85" s="28"/>
      <c r="I85" s="28">
        <f t="shared" si="8"/>
        <v>0</v>
      </c>
      <c r="J85" s="28"/>
      <c r="K85" s="28"/>
      <c r="L85" s="28"/>
      <c r="M85" s="28">
        <f aca="true" t="shared" si="9" ref="M85:M92">N85</f>
        <v>0</v>
      </c>
      <c r="N85" s="28"/>
      <c r="O85" s="29"/>
      <c r="P85" s="45">
        <f t="shared" si="3"/>
        <v>0</v>
      </c>
      <c r="Q85" s="5"/>
    </row>
    <row r="86" spans="1:17" ht="15.75" customHeight="1" hidden="1">
      <c r="A86" s="46" t="s">
        <v>113</v>
      </c>
      <c r="B86" s="26"/>
      <c r="C86" s="27"/>
      <c r="D86" s="100"/>
      <c r="E86" s="100"/>
      <c r="F86" s="100"/>
      <c r="G86" s="28"/>
      <c r="H86" s="28"/>
      <c r="I86" s="28">
        <f t="shared" si="8"/>
        <v>0</v>
      </c>
      <c r="J86" s="28"/>
      <c r="K86" s="28"/>
      <c r="L86" s="28"/>
      <c r="M86" s="28">
        <f t="shared" si="9"/>
        <v>0</v>
      </c>
      <c r="N86" s="28"/>
      <c r="O86" s="29"/>
      <c r="P86" s="45">
        <f t="shared" si="3"/>
        <v>0</v>
      </c>
      <c r="Q86" s="5"/>
    </row>
    <row r="87" spans="1:17" ht="15.75" customHeight="1" hidden="1">
      <c r="A87" s="46" t="s">
        <v>114</v>
      </c>
      <c r="B87" s="26"/>
      <c r="C87" s="27"/>
      <c r="D87" s="100"/>
      <c r="E87" s="100"/>
      <c r="F87" s="100"/>
      <c r="G87" s="28"/>
      <c r="H87" s="28"/>
      <c r="I87" s="28">
        <f t="shared" si="8"/>
        <v>0</v>
      </c>
      <c r="J87" s="28"/>
      <c r="K87" s="28"/>
      <c r="L87" s="28"/>
      <c r="M87" s="28">
        <f t="shared" si="9"/>
        <v>0</v>
      </c>
      <c r="N87" s="28"/>
      <c r="O87" s="29"/>
      <c r="P87" s="45">
        <f t="shared" si="3"/>
        <v>0</v>
      </c>
      <c r="Q87" s="5"/>
    </row>
    <row r="88" spans="1:17" ht="21" customHeight="1" thickBot="1">
      <c r="A88" s="46" t="s">
        <v>115</v>
      </c>
      <c r="B88" s="26"/>
      <c r="C88" s="27"/>
      <c r="D88" s="102">
        <f>42378</f>
        <v>42378</v>
      </c>
      <c r="E88" s="102">
        <f>F88+33287-28000</f>
        <v>42378</v>
      </c>
      <c r="F88" s="101">
        <v>37091</v>
      </c>
      <c r="G88" s="28"/>
      <c r="H88" s="28"/>
      <c r="I88" s="28">
        <f t="shared" si="8"/>
        <v>28000</v>
      </c>
      <c r="J88" s="28"/>
      <c r="K88" s="28"/>
      <c r="L88" s="28"/>
      <c r="M88" s="28">
        <v>28000</v>
      </c>
      <c r="N88" s="28">
        <f>M88</f>
        <v>28000</v>
      </c>
      <c r="O88" s="29"/>
      <c r="P88" s="45">
        <f t="shared" si="3"/>
        <v>70378</v>
      </c>
      <c r="Q88" s="5"/>
    </row>
    <row r="89" spans="1:17" ht="25.5" customHeight="1" hidden="1" thickBot="1">
      <c r="A89" s="46" t="s">
        <v>116</v>
      </c>
      <c r="B89" s="26"/>
      <c r="C89" s="27"/>
      <c r="D89" s="28"/>
      <c r="E89" s="28"/>
      <c r="F89" s="28"/>
      <c r="G89" s="47"/>
      <c r="H89" s="28"/>
      <c r="I89" s="22">
        <f t="shared" si="8"/>
        <v>0</v>
      </c>
      <c r="J89" s="28"/>
      <c r="K89" s="28"/>
      <c r="L89" s="28"/>
      <c r="M89" s="22">
        <f t="shared" si="9"/>
        <v>0</v>
      </c>
      <c r="N89" s="28"/>
      <c r="O89" s="29"/>
      <c r="P89" s="24">
        <f>D89+I89</f>
        <v>0</v>
      </c>
      <c r="Q89" s="5"/>
    </row>
    <row r="90" spans="1:17" ht="25.5" customHeight="1" hidden="1" thickBot="1">
      <c r="A90" s="46" t="s">
        <v>117</v>
      </c>
      <c r="B90" s="26"/>
      <c r="C90" s="27"/>
      <c r="D90" s="28"/>
      <c r="E90" s="28"/>
      <c r="F90" s="28"/>
      <c r="G90" s="47"/>
      <c r="H90" s="28"/>
      <c r="I90" s="22">
        <f t="shared" si="8"/>
        <v>0</v>
      </c>
      <c r="J90" s="28"/>
      <c r="K90" s="28"/>
      <c r="L90" s="28"/>
      <c r="M90" s="22">
        <f t="shared" si="9"/>
        <v>0</v>
      </c>
      <c r="N90" s="28"/>
      <c r="O90" s="29"/>
      <c r="P90" s="24">
        <f>D90+I90</f>
        <v>0</v>
      </c>
      <c r="Q90" s="5"/>
    </row>
    <row r="91" spans="1:17" ht="25.5" customHeight="1" hidden="1" thickBot="1">
      <c r="A91" s="46" t="s">
        <v>118</v>
      </c>
      <c r="B91" s="26"/>
      <c r="C91" s="27"/>
      <c r="D91" s="28"/>
      <c r="E91" s="28"/>
      <c r="F91" s="28"/>
      <c r="G91" s="28"/>
      <c r="H91" s="28"/>
      <c r="I91" s="22">
        <f t="shared" si="8"/>
        <v>0</v>
      </c>
      <c r="J91" s="28"/>
      <c r="K91" s="28"/>
      <c r="L91" s="28"/>
      <c r="M91" s="22">
        <f t="shared" si="9"/>
        <v>0</v>
      </c>
      <c r="N91" s="28"/>
      <c r="O91" s="29"/>
      <c r="P91" s="24">
        <f>D91+I91</f>
        <v>0</v>
      </c>
      <c r="Q91" s="5"/>
    </row>
    <row r="92" spans="1:17" ht="25.5" customHeight="1" hidden="1" thickBot="1">
      <c r="A92" s="46" t="s">
        <v>119</v>
      </c>
      <c r="B92" s="26"/>
      <c r="C92" s="27"/>
      <c r="D92" s="28"/>
      <c r="E92" s="28"/>
      <c r="F92" s="28"/>
      <c r="G92" s="47"/>
      <c r="H92" s="28"/>
      <c r="I92" s="22">
        <f t="shared" si="8"/>
        <v>0</v>
      </c>
      <c r="J92" s="28"/>
      <c r="K92" s="28"/>
      <c r="L92" s="28"/>
      <c r="M92" s="22">
        <f t="shared" si="9"/>
        <v>0</v>
      </c>
      <c r="N92" s="28"/>
      <c r="O92" s="29"/>
      <c r="P92" s="79">
        <f>D92+I92</f>
        <v>0</v>
      </c>
      <c r="Q92" s="5"/>
    </row>
    <row r="93" spans="1:17" ht="42" customHeight="1" thickBot="1">
      <c r="A93" s="50" t="s">
        <v>122</v>
      </c>
      <c r="B93" s="110" t="s">
        <v>137</v>
      </c>
      <c r="C93" s="123" t="s">
        <v>143</v>
      </c>
      <c r="D93" s="22">
        <f>D101+D102</f>
        <v>83748</v>
      </c>
      <c r="E93" s="22">
        <f>E94+E95+E96+E97+E98+E99+E100+E101+E102+E103+E104+E105+E106+E107</f>
        <v>83748</v>
      </c>
      <c r="F93" s="22">
        <f aca="true" t="shared" si="10" ref="F93:N93">F94+F95+F96+F97+F98+F99+F100+F101+F102+F103+F104+F105+F106+F107</f>
        <v>0</v>
      </c>
      <c r="G93" s="22">
        <f t="shared" si="10"/>
        <v>0</v>
      </c>
      <c r="H93" s="28">
        <f t="shared" si="10"/>
        <v>0</v>
      </c>
      <c r="I93" s="22">
        <f t="shared" si="10"/>
        <v>0</v>
      </c>
      <c r="J93" s="22">
        <f t="shared" si="10"/>
        <v>0</v>
      </c>
      <c r="K93" s="22">
        <f t="shared" si="10"/>
        <v>0</v>
      </c>
      <c r="L93" s="22">
        <f t="shared" si="10"/>
        <v>0</v>
      </c>
      <c r="M93" s="22">
        <f t="shared" si="10"/>
        <v>0</v>
      </c>
      <c r="N93" s="22">
        <f t="shared" si="10"/>
        <v>0</v>
      </c>
      <c r="O93" s="51"/>
      <c r="P93" s="80">
        <f>D93+I93</f>
        <v>83748</v>
      </c>
      <c r="Q93" s="78"/>
    </row>
    <row r="94" spans="1:17" ht="0.75" customHeight="1" thickBot="1">
      <c r="A94" s="112" t="s">
        <v>106</v>
      </c>
      <c r="B94" s="52"/>
      <c r="C94" s="57"/>
      <c r="D94" s="28"/>
      <c r="E94" s="55"/>
      <c r="F94" s="55"/>
      <c r="G94" s="54"/>
      <c r="H94" s="55"/>
      <c r="I94" s="28"/>
      <c r="J94" s="55"/>
      <c r="K94" s="55"/>
      <c r="L94" s="55"/>
      <c r="M94" s="28"/>
      <c r="N94" s="55"/>
      <c r="O94" s="56"/>
      <c r="P94" s="80">
        <f aca="true" t="shared" si="11" ref="P94:P139">D94+I94</f>
        <v>0</v>
      </c>
      <c r="Q94" s="5"/>
    </row>
    <row r="95" spans="1:17" ht="16.5" customHeight="1" hidden="1">
      <c r="A95" s="112" t="s">
        <v>107</v>
      </c>
      <c r="B95" s="52"/>
      <c r="C95" s="57"/>
      <c r="D95" s="28"/>
      <c r="E95" s="55"/>
      <c r="F95" s="55"/>
      <c r="G95" s="54"/>
      <c r="H95" s="55"/>
      <c r="I95" s="28"/>
      <c r="J95" s="55"/>
      <c r="K95" s="55"/>
      <c r="L95" s="55"/>
      <c r="M95" s="28"/>
      <c r="N95" s="55"/>
      <c r="O95" s="56"/>
      <c r="P95" s="80">
        <f t="shared" si="11"/>
        <v>0</v>
      </c>
      <c r="Q95" s="5"/>
    </row>
    <row r="96" spans="1:17" ht="18.75" customHeight="1" hidden="1">
      <c r="A96" s="112" t="s">
        <v>108</v>
      </c>
      <c r="B96" s="52"/>
      <c r="C96" s="57"/>
      <c r="D96" s="28"/>
      <c r="E96" s="55"/>
      <c r="F96" s="55"/>
      <c r="G96" s="54"/>
      <c r="H96" s="55"/>
      <c r="I96" s="28"/>
      <c r="J96" s="55"/>
      <c r="K96" s="55"/>
      <c r="L96" s="55"/>
      <c r="M96" s="28"/>
      <c r="N96" s="55"/>
      <c r="O96" s="56"/>
      <c r="P96" s="80">
        <f t="shared" si="11"/>
        <v>0</v>
      </c>
      <c r="Q96" s="5"/>
    </row>
    <row r="97" spans="1:17" ht="17.25" hidden="1" thickBot="1">
      <c r="A97" s="112" t="s">
        <v>109</v>
      </c>
      <c r="B97" s="52"/>
      <c r="C97" s="57"/>
      <c r="D97" s="28"/>
      <c r="E97" s="55"/>
      <c r="F97" s="55"/>
      <c r="G97" s="54"/>
      <c r="H97" s="55"/>
      <c r="I97" s="28"/>
      <c r="J97" s="55"/>
      <c r="K97" s="55"/>
      <c r="L97" s="55"/>
      <c r="M97" s="28"/>
      <c r="N97" s="55"/>
      <c r="O97" s="56"/>
      <c r="P97" s="80">
        <f t="shared" si="11"/>
        <v>0</v>
      </c>
      <c r="Q97" s="5"/>
    </row>
    <row r="98" spans="1:17" ht="16.5" customHeight="1" hidden="1">
      <c r="A98" s="112" t="s">
        <v>110</v>
      </c>
      <c r="B98" s="52"/>
      <c r="C98" s="57"/>
      <c r="D98" s="28"/>
      <c r="E98" s="55"/>
      <c r="F98" s="55"/>
      <c r="G98" s="54"/>
      <c r="H98" s="55"/>
      <c r="I98" s="28"/>
      <c r="J98" s="55"/>
      <c r="K98" s="55"/>
      <c r="L98" s="55"/>
      <c r="M98" s="28"/>
      <c r="N98" s="55"/>
      <c r="O98" s="56"/>
      <c r="P98" s="80">
        <f t="shared" si="11"/>
        <v>0</v>
      </c>
      <c r="Q98" s="5"/>
    </row>
    <row r="99" spans="1:17" ht="16.5" customHeight="1" hidden="1">
      <c r="A99" s="112" t="s">
        <v>111</v>
      </c>
      <c r="B99" s="52"/>
      <c r="C99" s="57"/>
      <c r="D99" s="28"/>
      <c r="E99" s="55"/>
      <c r="F99" s="55"/>
      <c r="G99" s="54"/>
      <c r="H99" s="55"/>
      <c r="I99" s="28"/>
      <c r="J99" s="55"/>
      <c r="K99" s="55"/>
      <c r="L99" s="55"/>
      <c r="M99" s="28"/>
      <c r="N99" s="55"/>
      <c r="O99" s="56"/>
      <c r="P99" s="80">
        <f t="shared" si="11"/>
        <v>0</v>
      </c>
      <c r="Q99" s="5"/>
    </row>
    <row r="100" spans="1:17" ht="15.75" customHeight="1" hidden="1">
      <c r="A100" s="112" t="s">
        <v>112</v>
      </c>
      <c r="B100" s="52"/>
      <c r="C100" s="57"/>
      <c r="D100" s="28"/>
      <c r="E100" s="55"/>
      <c r="F100" s="55"/>
      <c r="G100" s="54"/>
      <c r="H100" s="55"/>
      <c r="I100" s="28"/>
      <c r="J100" s="55"/>
      <c r="K100" s="55"/>
      <c r="L100" s="55"/>
      <c r="M100" s="28"/>
      <c r="N100" s="55"/>
      <c r="O100" s="56"/>
      <c r="P100" s="80">
        <f t="shared" si="11"/>
        <v>0</v>
      </c>
      <c r="Q100" s="5"/>
    </row>
    <row r="101" spans="1:17" ht="15.75" customHeight="1" thickBot="1">
      <c r="A101" s="112" t="s">
        <v>113</v>
      </c>
      <c r="B101" s="52"/>
      <c r="C101" s="57"/>
      <c r="D101" s="28">
        <f>E101</f>
        <v>70000</v>
      </c>
      <c r="E101" s="55">
        <v>70000</v>
      </c>
      <c r="F101" s="55"/>
      <c r="G101" s="54"/>
      <c r="H101" s="55"/>
      <c r="I101" s="28"/>
      <c r="J101" s="55"/>
      <c r="K101" s="55"/>
      <c r="L101" s="55"/>
      <c r="M101" s="28"/>
      <c r="N101" s="55"/>
      <c r="O101" s="56"/>
      <c r="P101" s="80">
        <f t="shared" si="11"/>
        <v>70000</v>
      </c>
      <c r="Q101" s="5"/>
    </row>
    <row r="102" spans="1:17" ht="13.5" customHeight="1" thickBot="1">
      <c r="A102" s="112" t="s">
        <v>114</v>
      </c>
      <c r="B102" s="52"/>
      <c r="C102" s="57"/>
      <c r="D102" s="28">
        <f>E102</f>
        <v>13748</v>
      </c>
      <c r="E102" s="55">
        <v>13748</v>
      </c>
      <c r="F102" s="55"/>
      <c r="G102" s="54"/>
      <c r="H102" s="55"/>
      <c r="I102" s="28"/>
      <c r="J102" s="55"/>
      <c r="K102" s="55"/>
      <c r="L102" s="55"/>
      <c r="M102" s="28"/>
      <c r="N102" s="55"/>
      <c r="O102" s="56"/>
      <c r="P102" s="80">
        <f t="shared" si="11"/>
        <v>13748</v>
      </c>
      <c r="Q102" s="5"/>
    </row>
    <row r="103" spans="1:17" ht="0.75" customHeight="1" thickBot="1">
      <c r="A103" s="112" t="s">
        <v>115</v>
      </c>
      <c r="B103" s="52"/>
      <c r="C103" s="57"/>
      <c r="D103" s="28"/>
      <c r="E103" s="55"/>
      <c r="F103" s="55"/>
      <c r="G103" s="54"/>
      <c r="H103" s="55"/>
      <c r="I103" s="28"/>
      <c r="J103" s="55"/>
      <c r="K103" s="55"/>
      <c r="L103" s="55"/>
      <c r="M103" s="28"/>
      <c r="N103" s="55"/>
      <c r="O103" s="56"/>
      <c r="P103" s="80">
        <f t="shared" si="11"/>
        <v>0</v>
      </c>
      <c r="Q103" s="5"/>
    </row>
    <row r="104" spans="1:17" ht="15" customHeight="1" hidden="1">
      <c r="A104" s="112" t="s">
        <v>116</v>
      </c>
      <c r="B104" s="52"/>
      <c r="C104" s="57"/>
      <c r="D104" s="28"/>
      <c r="E104" s="55"/>
      <c r="F104" s="55"/>
      <c r="G104" s="54"/>
      <c r="H104" s="55"/>
      <c r="I104" s="28"/>
      <c r="J104" s="55"/>
      <c r="K104" s="55"/>
      <c r="L104" s="55"/>
      <c r="M104" s="28"/>
      <c r="N104" s="55"/>
      <c r="O104" s="56"/>
      <c r="P104" s="80">
        <f t="shared" si="11"/>
        <v>0</v>
      </c>
      <c r="Q104" s="5"/>
    </row>
    <row r="105" spans="1:17" ht="15" customHeight="1" hidden="1">
      <c r="A105" s="112" t="s">
        <v>117</v>
      </c>
      <c r="B105" s="52"/>
      <c r="C105" s="57"/>
      <c r="D105" s="28"/>
      <c r="E105" s="55"/>
      <c r="F105" s="55"/>
      <c r="G105" s="54"/>
      <c r="H105" s="55"/>
      <c r="I105" s="28"/>
      <c r="J105" s="55"/>
      <c r="K105" s="55"/>
      <c r="L105" s="55"/>
      <c r="M105" s="28"/>
      <c r="N105" s="55"/>
      <c r="O105" s="56"/>
      <c r="P105" s="80">
        <f t="shared" si="11"/>
        <v>0</v>
      </c>
      <c r="Q105" s="5"/>
    </row>
    <row r="106" spans="1:17" ht="15" customHeight="1" hidden="1">
      <c r="A106" s="112" t="s">
        <v>118</v>
      </c>
      <c r="B106" s="52"/>
      <c r="C106" s="57"/>
      <c r="D106" s="28"/>
      <c r="E106" s="55"/>
      <c r="F106" s="55"/>
      <c r="G106" s="54"/>
      <c r="H106" s="55"/>
      <c r="I106" s="28"/>
      <c r="J106" s="55"/>
      <c r="K106" s="55"/>
      <c r="L106" s="55"/>
      <c r="M106" s="28"/>
      <c r="N106" s="55"/>
      <c r="O106" s="56"/>
      <c r="P106" s="80">
        <f t="shared" si="11"/>
        <v>0</v>
      </c>
      <c r="Q106" s="5"/>
    </row>
    <row r="107" spans="1:17" ht="13.5" customHeight="1" hidden="1">
      <c r="A107" s="112" t="s">
        <v>119</v>
      </c>
      <c r="B107" s="52"/>
      <c r="C107" s="57"/>
      <c r="D107" s="28"/>
      <c r="E107" s="55"/>
      <c r="F107" s="55"/>
      <c r="G107" s="54"/>
      <c r="H107" s="55"/>
      <c r="I107" s="28"/>
      <c r="J107" s="55"/>
      <c r="K107" s="55"/>
      <c r="L107" s="55"/>
      <c r="M107" s="28"/>
      <c r="N107" s="55"/>
      <c r="O107" s="56"/>
      <c r="P107" s="80">
        <f t="shared" si="11"/>
        <v>0</v>
      </c>
      <c r="Q107" s="5"/>
    </row>
    <row r="108" spans="1:19" ht="48.75" customHeight="1" thickBot="1">
      <c r="A108" s="50" t="s">
        <v>123</v>
      </c>
      <c r="B108" s="110" t="s">
        <v>138</v>
      </c>
      <c r="C108" s="123" t="s">
        <v>143</v>
      </c>
      <c r="D108" s="22">
        <f>E108</f>
        <v>0</v>
      </c>
      <c r="E108" s="22">
        <f>E109+E110+E111+E112+E113+E114+E115+E116+E117+E118+E119+E120+E121+E122</f>
        <v>0</v>
      </c>
      <c r="F108" s="22">
        <f aca="true" t="shared" si="12" ref="F108:L108">F109+F110+F111+F112+F113+F114+F115+F116+F117+F118+F119+F120+F121+F122</f>
        <v>0</v>
      </c>
      <c r="G108" s="22">
        <f t="shared" si="12"/>
        <v>0</v>
      </c>
      <c r="H108" s="28">
        <f t="shared" si="12"/>
        <v>0</v>
      </c>
      <c r="I108" s="96">
        <f>J108+M108</f>
        <v>306922</v>
      </c>
      <c r="J108" s="22">
        <f t="shared" si="12"/>
        <v>0</v>
      </c>
      <c r="K108" s="22">
        <f t="shared" si="12"/>
        <v>0</v>
      </c>
      <c r="L108" s="22">
        <f t="shared" si="12"/>
        <v>0</v>
      </c>
      <c r="M108" s="22">
        <f>M109</f>
        <v>306922</v>
      </c>
      <c r="N108" s="22">
        <f>N109</f>
        <v>306922</v>
      </c>
      <c r="O108" s="51"/>
      <c r="P108" s="80">
        <f t="shared" si="11"/>
        <v>306922</v>
      </c>
      <c r="Q108" s="5"/>
      <c r="S108" s="97"/>
    </row>
    <row r="109" spans="1:17" ht="15" customHeight="1" thickBot="1">
      <c r="A109" s="46" t="s">
        <v>115</v>
      </c>
      <c r="B109" s="52"/>
      <c r="C109" s="119"/>
      <c r="D109" s="114"/>
      <c r="E109" s="55"/>
      <c r="F109" s="55"/>
      <c r="G109" s="54"/>
      <c r="H109" s="55"/>
      <c r="I109" s="125">
        <v>306922</v>
      </c>
      <c r="J109" s="55"/>
      <c r="K109" s="55"/>
      <c r="L109" s="55"/>
      <c r="M109" s="28">
        <f>N109</f>
        <v>306922</v>
      </c>
      <c r="N109" s="55">
        <v>306922</v>
      </c>
      <c r="O109" s="56"/>
      <c r="P109" s="80">
        <f t="shared" si="11"/>
        <v>306922</v>
      </c>
      <c r="Q109" s="5"/>
    </row>
    <row r="110" spans="1:17" ht="15" customHeight="1" hidden="1">
      <c r="A110" s="46" t="s">
        <v>107</v>
      </c>
      <c r="B110" s="52"/>
      <c r="C110" s="57"/>
      <c r="D110" s="55"/>
      <c r="E110" s="55"/>
      <c r="F110" s="55"/>
      <c r="G110" s="54"/>
      <c r="H110" s="55"/>
      <c r="I110" s="96"/>
      <c r="J110" s="55"/>
      <c r="K110" s="55"/>
      <c r="L110" s="55"/>
      <c r="M110" s="28"/>
      <c r="N110" s="55"/>
      <c r="O110" s="56"/>
      <c r="P110" s="80">
        <f t="shared" si="11"/>
        <v>0</v>
      </c>
      <c r="Q110" s="5"/>
    </row>
    <row r="111" spans="1:17" ht="14.25" customHeight="1" hidden="1">
      <c r="A111" s="46" t="s">
        <v>108</v>
      </c>
      <c r="B111" s="52"/>
      <c r="C111" s="57"/>
      <c r="D111" s="55"/>
      <c r="E111" s="55"/>
      <c r="F111" s="55"/>
      <c r="G111" s="54"/>
      <c r="H111" s="55"/>
      <c r="I111" s="96"/>
      <c r="J111" s="55"/>
      <c r="K111" s="55"/>
      <c r="L111" s="55"/>
      <c r="M111" s="28"/>
      <c r="N111" s="55"/>
      <c r="O111" s="56"/>
      <c r="P111" s="80">
        <f t="shared" si="11"/>
        <v>0</v>
      </c>
      <c r="Q111" s="5"/>
    </row>
    <row r="112" spans="1:17" ht="17.25" customHeight="1" hidden="1">
      <c r="A112" s="46" t="s">
        <v>109</v>
      </c>
      <c r="B112" s="52"/>
      <c r="C112" s="57"/>
      <c r="D112" s="55"/>
      <c r="E112" s="55"/>
      <c r="F112" s="55"/>
      <c r="G112" s="54"/>
      <c r="H112" s="55"/>
      <c r="I112" s="96"/>
      <c r="J112" s="55"/>
      <c r="K112" s="55"/>
      <c r="L112" s="55"/>
      <c r="M112" s="28"/>
      <c r="N112" s="55"/>
      <c r="O112" s="56"/>
      <c r="P112" s="80">
        <f t="shared" si="11"/>
        <v>0</v>
      </c>
      <c r="Q112" s="5"/>
    </row>
    <row r="113" spans="1:17" ht="15.75" customHeight="1" hidden="1">
      <c r="A113" s="46" t="s">
        <v>110</v>
      </c>
      <c r="B113" s="52"/>
      <c r="C113" s="57"/>
      <c r="D113" s="55"/>
      <c r="E113" s="55"/>
      <c r="F113" s="55"/>
      <c r="G113" s="54"/>
      <c r="H113" s="55"/>
      <c r="I113" s="96"/>
      <c r="J113" s="55"/>
      <c r="K113" s="55"/>
      <c r="L113" s="55"/>
      <c r="M113" s="28"/>
      <c r="N113" s="55"/>
      <c r="O113" s="56"/>
      <c r="P113" s="80">
        <f t="shared" si="11"/>
        <v>0</v>
      </c>
      <c r="Q113" s="5"/>
    </row>
    <row r="114" spans="1:17" ht="15" customHeight="1" hidden="1">
      <c r="A114" s="46" t="s">
        <v>111</v>
      </c>
      <c r="B114" s="52"/>
      <c r="C114" s="57"/>
      <c r="D114" s="55"/>
      <c r="E114" s="55"/>
      <c r="F114" s="55"/>
      <c r="G114" s="54"/>
      <c r="H114" s="55"/>
      <c r="I114" s="96"/>
      <c r="J114" s="55"/>
      <c r="K114" s="55"/>
      <c r="L114" s="55"/>
      <c r="M114" s="28"/>
      <c r="N114" s="55"/>
      <c r="O114" s="56"/>
      <c r="P114" s="80">
        <f t="shared" si="11"/>
        <v>0</v>
      </c>
      <c r="Q114" s="5"/>
    </row>
    <row r="115" spans="1:17" ht="16.5" customHeight="1" hidden="1">
      <c r="A115" s="46" t="s">
        <v>112</v>
      </c>
      <c r="B115" s="52"/>
      <c r="C115" s="57"/>
      <c r="D115" s="55"/>
      <c r="E115" s="55"/>
      <c r="F115" s="55"/>
      <c r="G115" s="54"/>
      <c r="H115" s="55"/>
      <c r="I115" s="96"/>
      <c r="J115" s="55"/>
      <c r="K115" s="55"/>
      <c r="L115" s="55"/>
      <c r="M115" s="28"/>
      <c r="N115" s="55"/>
      <c r="O115" s="56"/>
      <c r="P115" s="80">
        <f t="shared" si="11"/>
        <v>0</v>
      </c>
      <c r="Q115" s="5"/>
    </row>
    <row r="116" spans="1:17" ht="15.75" customHeight="1" hidden="1">
      <c r="A116" s="46" t="s">
        <v>113</v>
      </c>
      <c r="B116" s="52"/>
      <c r="C116" s="57"/>
      <c r="D116" s="55"/>
      <c r="E116" s="55"/>
      <c r="F116" s="55"/>
      <c r="G116" s="54"/>
      <c r="H116" s="55"/>
      <c r="I116" s="96"/>
      <c r="J116" s="55"/>
      <c r="K116" s="55"/>
      <c r="L116" s="55"/>
      <c r="M116" s="28"/>
      <c r="N116" s="55"/>
      <c r="O116" s="56"/>
      <c r="P116" s="80">
        <f t="shared" si="11"/>
        <v>0</v>
      </c>
      <c r="Q116" s="5"/>
    </row>
    <row r="117" spans="1:17" ht="15" customHeight="1" hidden="1">
      <c r="A117" s="46" t="s">
        <v>114</v>
      </c>
      <c r="B117" s="52"/>
      <c r="C117" s="57"/>
      <c r="D117" s="55"/>
      <c r="E117" s="55"/>
      <c r="F117" s="55"/>
      <c r="G117" s="54"/>
      <c r="H117" s="55"/>
      <c r="I117" s="96"/>
      <c r="J117" s="55"/>
      <c r="K117" s="55"/>
      <c r="L117" s="55"/>
      <c r="M117" s="28"/>
      <c r="N117" s="55"/>
      <c r="O117" s="56"/>
      <c r="P117" s="80">
        <f t="shared" si="11"/>
        <v>0</v>
      </c>
      <c r="Q117" s="5"/>
    </row>
    <row r="118" spans="1:17" ht="18.75" customHeight="1" hidden="1">
      <c r="A118" s="46" t="s">
        <v>115</v>
      </c>
      <c r="B118" s="52"/>
      <c r="C118" s="57"/>
      <c r="D118" s="55"/>
      <c r="E118" s="55"/>
      <c r="F118" s="55"/>
      <c r="G118" s="54"/>
      <c r="H118" s="55"/>
      <c r="I118" s="96"/>
      <c r="J118" s="55"/>
      <c r="K118" s="55"/>
      <c r="L118" s="55"/>
      <c r="M118" s="28"/>
      <c r="N118" s="55"/>
      <c r="O118" s="56"/>
      <c r="P118" s="80">
        <f t="shared" si="11"/>
        <v>0</v>
      </c>
      <c r="Q118" s="5"/>
    </row>
    <row r="119" spans="1:17" ht="19.5" customHeight="1" hidden="1">
      <c r="A119" s="46" t="s">
        <v>116</v>
      </c>
      <c r="B119" s="52"/>
      <c r="C119" s="57"/>
      <c r="D119" s="55"/>
      <c r="E119" s="55"/>
      <c r="F119" s="55"/>
      <c r="G119" s="54"/>
      <c r="H119" s="55"/>
      <c r="I119" s="96"/>
      <c r="J119" s="55"/>
      <c r="K119" s="55"/>
      <c r="L119" s="55"/>
      <c r="M119" s="28"/>
      <c r="N119" s="55"/>
      <c r="O119" s="56"/>
      <c r="P119" s="80">
        <f t="shared" si="11"/>
        <v>0</v>
      </c>
      <c r="Q119" s="5"/>
    </row>
    <row r="120" spans="1:17" ht="21.75" customHeight="1" hidden="1">
      <c r="A120" s="46" t="s">
        <v>117</v>
      </c>
      <c r="B120" s="52"/>
      <c r="C120" s="57"/>
      <c r="D120" s="55"/>
      <c r="E120" s="55"/>
      <c r="F120" s="55"/>
      <c r="G120" s="54"/>
      <c r="H120" s="55"/>
      <c r="I120" s="96"/>
      <c r="J120" s="55"/>
      <c r="K120" s="55"/>
      <c r="L120" s="55"/>
      <c r="M120" s="28"/>
      <c r="N120" s="55"/>
      <c r="O120" s="56"/>
      <c r="P120" s="80">
        <f t="shared" si="11"/>
        <v>0</v>
      </c>
      <c r="Q120" s="5"/>
    </row>
    <row r="121" spans="1:17" ht="21.75" customHeight="1" hidden="1">
      <c r="A121" s="46" t="s">
        <v>118</v>
      </c>
      <c r="B121" s="52"/>
      <c r="C121" s="57"/>
      <c r="D121" s="55"/>
      <c r="E121" s="55"/>
      <c r="F121" s="55"/>
      <c r="G121" s="54"/>
      <c r="H121" s="55"/>
      <c r="I121" s="96"/>
      <c r="J121" s="55"/>
      <c r="K121" s="55"/>
      <c r="L121" s="55"/>
      <c r="M121" s="28"/>
      <c r="N121" s="55"/>
      <c r="O121" s="56"/>
      <c r="P121" s="80">
        <f t="shared" si="11"/>
        <v>0</v>
      </c>
      <c r="Q121" s="5"/>
    </row>
    <row r="122" spans="1:17" ht="21" customHeight="1" hidden="1">
      <c r="A122" s="46" t="s">
        <v>119</v>
      </c>
      <c r="B122" s="52"/>
      <c r="C122" s="57"/>
      <c r="D122" s="28"/>
      <c r="E122" s="55"/>
      <c r="F122" s="55"/>
      <c r="G122" s="54"/>
      <c r="H122" s="55"/>
      <c r="I122" s="96"/>
      <c r="J122" s="55"/>
      <c r="K122" s="55"/>
      <c r="L122" s="55"/>
      <c r="M122" s="28"/>
      <c r="N122" s="55"/>
      <c r="O122" s="56"/>
      <c r="P122" s="80">
        <f t="shared" si="11"/>
        <v>0</v>
      </c>
      <c r="Q122" s="5"/>
    </row>
    <row r="123" spans="1:17" ht="32.25" customHeight="1" thickBot="1">
      <c r="A123" s="50" t="s">
        <v>124</v>
      </c>
      <c r="B123" s="110" t="s">
        <v>141</v>
      </c>
      <c r="C123" s="123" t="s">
        <v>143</v>
      </c>
      <c r="D123" s="58">
        <f>D124+D125+D126+D127+D128+D129+D130+D131+D132+D133+D134+D135+D136+D137</f>
        <v>0</v>
      </c>
      <c r="E123" s="44">
        <f>E124+E125+E126+E127+E128+E129+E130+E131+E132+E133+E134+E135+E136+E137</f>
        <v>0</v>
      </c>
      <c r="F123" s="60"/>
      <c r="G123" s="59"/>
      <c r="H123" s="60"/>
      <c r="I123" s="96">
        <f>J123+M123</f>
        <v>800000</v>
      </c>
      <c r="J123" s="60"/>
      <c r="K123" s="60"/>
      <c r="L123" s="60"/>
      <c r="M123" s="60">
        <f>M133</f>
        <v>800000</v>
      </c>
      <c r="N123" s="60">
        <f>N133</f>
        <v>800000</v>
      </c>
      <c r="O123" s="51"/>
      <c r="P123" s="80">
        <f t="shared" si="11"/>
        <v>800000</v>
      </c>
      <c r="Q123" s="5"/>
    </row>
    <row r="124" spans="1:17" ht="0.75" customHeight="1" thickBot="1">
      <c r="A124" s="46" t="s">
        <v>106</v>
      </c>
      <c r="B124" s="52"/>
      <c r="C124" s="57"/>
      <c r="D124" s="49"/>
      <c r="E124" s="61"/>
      <c r="F124" s="55"/>
      <c r="G124" s="54"/>
      <c r="H124" s="55"/>
      <c r="I124" s="96"/>
      <c r="J124" s="55"/>
      <c r="K124" s="55"/>
      <c r="L124" s="55"/>
      <c r="M124" s="60"/>
      <c r="N124" s="55"/>
      <c r="O124" s="56"/>
      <c r="P124" s="80">
        <f t="shared" si="11"/>
        <v>0</v>
      </c>
      <c r="Q124" s="5"/>
    </row>
    <row r="125" spans="1:17" ht="25.5" customHeight="1" hidden="1">
      <c r="A125" s="46" t="s">
        <v>107</v>
      </c>
      <c r="B125" s="52"/>
      <c r="C125" s="57"/>
      <c r="D125" s="49"/>
      <c r="E125" s="61"/>
      <c r="F125" s="55"/>
      <c r="G125" s="54"/>
      <c r="H125" s="55"/>
      <c r="I125" s="96"/>
      <c r="J125" s="55"/>
      <c r="K125" s="55"/>
      <c r="L125" s="55"/>
      <c r="M125" s="60"/>
      <c r="N125" s="55"/>
      <c r="O125" s="56"/>
      <c r="P125" s="80">
        <f t="shared" si="11"/>
        <v>0</v>
      </c>
      <c r="Q125" s="5"/>
    </row>
    <row r="126" spans="1:17" ht="25.5" customHeight="1" hidden="1">
      <c r="A126" s="46" t="s">
        <v>108</v>
      </c>
      <c r="B126" s="52"/>
      <c r="C126" s="57"/>
      <c r="D126" s="49"/>
      <c r="E126" s="61"/>
      <c r="F126" s="55"/>
      <c r="G126" s="54"/>
      <c r="H126" s="55"/>
      <c r="I126" s="96"/>
      <c r="J126" s="55"/>
      <c r="K126" s="55"/>
      <c r="L126" s="55"/>
      <c r="M126" s="60"/>
      <c r="N126" s="55"/>
      <c r="O126" s="56"/>
      <c r="P126" s="80">
        <f t="shared" si="11"/>
        <v>0</v>
      </c>
      <c r="Q126" s="5"/>
    </row>
    <row r="127" spans="1:17" ht="25.5" customHeight="1" hidden="1">
      <c r="A127" s="46" t="s">
        <v>109</v>
      </c>
      <c r="B127" s="52"/>
      <c r="C127" s="57"/>
      <c r="D127" s="49"/>
      <c r="E127" s="61"/>
      <c r="F127" s="55"/>
      <c r="G127" s="54"/>
      <c r="H127" s="55"/>
      <c r="I127" s="96"/>
      <c r="J127" s="55"/>
      <c r="K127" s="55"/>
      <c r="L127" s="55"/>
      <c r="M127" s="60"/>
      <c r="N127" s="55"/>
      <c r="O127" s="56"/>
      <c r="P127" s="80">
        <f t="shared" si="11"/>
        <v>0</v>
      </c>
      <c r="Q127" s="5"/>
    </row>
    <row r="128" spans="1:17" ht="25.5" customHeight="1" hidden="1">
      <c r="A128" s="46" t="s">
        <v>110</v>
      </c>
      <c r="B128" s="52"/>
      <c r="C128" s="57"/>
      <c r="D128" s="49"/>
      <c r="E128" s="61"/>
      <c r="F128" s="55"/>
      <c r="G128" s="54"/>
      <c r="H128" s="55"/>
      <c r="I128" s="96"/>
      <c r="J128" s="55"/>
      <c r="K128" s="55"/>
      <c r="L128" s="55"/>
      <c r="M128" s="60"/>
      <c r="N128" s="55"/>
      <c r="O128" s="56"/>
      <c r="P128" s="80">
        <f t="shared" si="11"/>
        <v>0</v>
      </c>
      <c r="Q128" s="5"/>
    </row>
    <row r="129" spans="1:17" ht="25.5" customHeight="1" hidden="1">
      <c r="A129" s="46" t="s">
        <v>111</v>
      </c>
      <c r="B129" s="52"/>
      <c r="C129" s="57"/>
      <c r="D129" s="49"/>
      <c r="E129" s="61"/>
      <c r="F129" s="55"/>
      <c r="G129" s="54"/>
      <c r="H129" s="55"/>
      <c r="I129" s="96"/>
      <c r="J129" s="55"/>
      <c r="K129" s="55"/>
      <c r="L129" s="55"/>
      <c r="M129" s="60"/>
      <c r="N129" s="55"/>
      <c r="O129" s="56"/>
      <c r="P129" s="80">
        <f t="shared" si="11"/>
        <v>0</v>
      </c>
      <c r="Q129" s="5"/>
    </row>
    <row r="130" spans="1:17" ht="25.5" customHeight="1" hidden="1">
      <c r="A130" s="46" t="s">
        <v>112</v>
      </c>
      <c r="B130" s="52"/>
      <c r="C130" s="57"/>
      <c r="D130" s="49"/>
      <c r="E130" s="61"/>
      <c r="F130" s="55"/>
      <c r="G130" s="54"/>
      <c r="H130" s="55"/>
      <c r="I130" s="96"/>
      <c r="J130" s="55"/>
      <c r="K130" s="55"/>
      <c r="L130" s="55"/>
      <c r="M130" s="60"/>
      <c r="N130" s="55"/>
      <c r="O130" s="56"/>
      <c r="P130" s="80">
        <f t="shared" si="11"/>
        <v>0</v>
      </c>
      <c r="Q130" s="5"/>
    </row>
    <row r="131" spans="1:17" ht="25.5" customHeight="1" hidden="1">
      <c r="A131" s="46" t="s">
        <v>113</v>
      </c>
      <c r="B131" s="52"/>
      <c r="C131" s="57"/>
      <c r="D131" s="49"/>
      <c r="E131" s="61"/>
      <c r="F131" s="55"/>
      <c r="G131" s="54"/>
      <c r="H131" s="55"/>
      <c r="I131" s="96"/>
      <c r="J131" s="55"/>
      <c r="K131" s="55"/>
      <c r="L131" s="55"/>
      <c r="M131" s="60"/>
      <c r="N131" s="55"/>
      <c r="O131" s="56"/>
      <c r="P131" s="80">
        <f t="shared" si="11"/>
        <v>0</v>
      </c>
      <c r="Q131" s="5"/>
    </row>
    <row r="132" spans="1:17" ht="25.5" customHeight="1" hidden="1">
      <c r="A132" s="46" t="s">
        <v>114</v>
      </c>
      <c r="B132" s="52"/>
      <c r="C132" s="57"/>
      <c r="D132" s="49"/>
      <c r="E132" s="61"/>
      <c r="F132" s="55"/>
      <c r="G132" s="54"/>
      <c r="H132" s="55"/>
      <c r="I132" s="96"/>
      <c r="J132" s="55"/>
      <c r="K132" s="55"/>
      <c r="L132" s="55"/>
      <c r="M132" s="60"/>
      <c r="N132" s="55"/>
      <c r="O132" s="56"/>
      <c r="P132" s="80">
        <f t="shared" si="11"/>
        <v>0</v>
      </c>
      <c r="Q132" s="5"/>
    </row>
    <row r="133" spans="1:17" ht="19.5" customHeight="1" thickBot="1">
      <c r="A133" s="46" t="s">
        <v>115</v>
      </c>
      <c r="B133" s="113"/>
      <c r="D133" s="49"/>
      <c r="E133" s="61"/>
      <c r="F133" s="55"/>
      <c r="G133" s="115"/>
      <c r="H133" s="114"/>
      <c r="I133" s="125">
        <v>800000</v>
      </c>
      <c r="J133" s="114"/>
      <c r="K133" s="114"/>
      <c r="L133" s="114"/>
      <c r="M133" s="114">
        <f>N133</f>
        <v>800000</v>
      </c>
      <c r="N133" s="114">
        <v>800000</v>
      </c>
      <c r="O133" s="56"/>
      <c r="P133" s="80">
        <f t="shared" si="11"/>
        <v>800000</v>
      </c>
      <c r="Q133" s="5"/>
    </row>
    <row r="134" spans="1:19" ht="25.5" customHeight="1" hidden="1" thickBot="1">
      <c r="A134" s="46" t="s">
        <v>116</v>
      </c>
      <c r="B134" s="52"/>
      <c r="C134" s="57"/>
      <c r="D134" s="49"/>
      <c r="E134" s="61"/>
      <c r="F134" s="55"/>
      <c r="G134" s="54"/>
      <c r="H134" s="55"/>
      <c r="I134" s="96"/>
      <c r="J134" s="55"/>
      <c r="K134" s="55"/>
      <c r="L134" s="55"/>
      <c r="M134" s="60"/>
      <c r="N134" s="55"/>
      <c r="O134" s="56"/>
      <c r="P134" s="80">
        <f t="shared" si="11"/>
        <v>0</v>
      </c>
      <c r="Q134" s="5"/>
      <c r="S134" s="97"/>
    </row>
    <row r="135" spans="1:19" ht="25.5" customHeight="1" hidden="1" thickBot="1">
      <c r="A135" s="46" t="s">
        <v>117</v>
      </c>
      <c r="B135" s="52"/>
      <c r="C135" s="57"/>
      <c r="D135" s="49"/>
      <c r="E135" s="61"/>
      <c r="F135" s="55"/>
      <c r="G135" s="54"/>
      <c r="H135" s="55"/>
      <c r="I135" s="96"/>
      <c r="J135" s="55"/>
      <c r="K135" s="55"/>
      <c r="L135" s="55"/>
      <c r="M135" s="60"/>
      <c r="N135" s="55"/>
      <c r="O135" s="56"/>
      <c r="P135" s="80">
        <f t="shared" si="11"/>
        <v>0</v>
      </c>
      <c r="Q135" s="5"/>
      <c r="S135" s="97"/>
    </row>
    <row r="136" spans="1:17" ht="25.5" customHeight="1" hidden="1" thickBot="1">
      <c r="A136" s="46" t="s">
        <v>118</v>
      </c>
      <c r="B136" s="52"/>
      <c r="C136" s="57"/>
      <c r="D136" s="49"/>
      <c r="E136" s="61"/>
      <c r="F136" s="55"/>
      <c r="G136" s="54"/>
      <c r="H136" s="55"/>
      <c r="I136" s="96"/>
      <c r="J136" s="55"/>
      <c r="K136" s="55"/>
      <c r="L136" s="55"/>
      <c r="M136" s="60"/>
      <c r="N136" s="55"/>
      <c r="O136" s="56"/>
      <c r="P136" s="80">
        <f t="shared" si="11"/>
        <v>0</v>
      </c>
      <c r="Q136" s="5"/>
    </row>
    <row r="137" spans="1:17" ht="25.5" customHeight="1" hidden="1" thickBot="1">
      <c r="A137" s="46" t="s">
        <v>119</v>
      </c>
      <c r="B137" s="26"/>
      <c r="C137" s="120"/>
      <c r="D137" s="49"/>
      <c r="E137" s="61"/>
      <c r="F137" s="28"/>
      <c r="G137" s="47"/>
      <c r="H137" s="28"/>
      <c r="I137" s="96"/>
      <c r="J137" s="28"/>
      <c r="K137" s="28"/>
      <c r="L137" s="28"/>
      <c r="M137" s="134"/>
      <c r="N137" s="135"/>
      <c r="O137" s="137"/>
      <c r="P137" s="80">
        <f t="shared" si="11"/>
        <v>0</v>
      </c>
      <c r="Q137" s="5"/>
    </row>
    <row r="138" spans="1:17" ht="42.75" customHeight="1" thickBot="1">
      <c r="A138" s="128" t="s">
        <v>142</v>
      </c>
      <c r="B138" s="139" t="s">
        <v>149</v>
      </c>
      <c r="C138" s="132" t="s">
        <v>146</v>
      </c>
      <c r="D138" s="125"/>
      <c r="E138" s="130"/>
      <c r="F138" s="114"/>
      <c r="G138" s="131"/>
      <c r="H138" s="92"/>
      <c r="I138" s="96">
        <f>M138</f>
        <v>500000</v>
      </c>
      <c r="J138" s="92"/>
      <c r="K138" s="92"/>
      <c r="L138" s="92"/>
      <c r="M138" s="136">
        <v>500000</v>
      </c>
      <c r="N138" s="136">
        <v>500000</v>
      </c>
      <c r="O138" s="29"/>
      <c r="P138" s="80">
        <f t="shared" si="11"/>
        <v>500000</v>
      </c>
      <c r="Q138" s="5"/>
    </row>
    <row r="139" spans="1:17" ht="21.75" customHeight="1" thickBot="1">
      <c r="A139" s="128" t="s">
        <v>116</v>
      </c>
      <c r="B139" s="90"/>
      <c r="C139" s="129"/>
      <c r="D139" s="125"/>
      <c r="E139" s="130"/>
      <c r="F139" s="114"/>
      <c r="G139" s="131"/>
      <c r="H139" s="92"/>
      <c r="I139" s="125">
        <f>M139</f>
        <v>500000</v>
      </c>
      <c r="J139" s="92"/>
      <c r="K139" s="92"/>
      <c r="L139" s="92"/>
      <c r="M139" s="55">
        <v>500000</v>
      </c>
      <c r="N139" s="55">
        <v>500000</v>
      </c>
      <c r="O139" s="29"/>
      <c r="P139" s="80">
        <f t="shared" si="11"/>
        <v>500000</v>
      </c>
      <c r="Q139" s="5"/>
    </row>
    <row r="140" spans="1:17" ht="30" customHeight="1" thickBot="1">
      <c r="A140" s="128" t="s">
        <v>145</v>
      </c>
      <c r="B140" s="141" t="s">
        <v>154</v>
      </c>
      <c r="C140" s="162" t="s">
        <v>153</v>
      </c>
      <c r="D140" s="143">
        <f>D141+D142+D143+D144+D145+D146+D147+D148+D149+D150+D151+D152+D153+D154</f>
        <v>1010912</v>
      </c>
      <c r="E140" s="143">
        <f>E141+E142+E143+E144+E145+E146+E147+E148+E149+E150+E151+E152+E153+E154</f>
        <v>1010912</v>
      </c>
      <c r="F140" s="130"/>
      <c r="G140" s="130">
        <f>G141+G142+G143+G144+G145+G146+G147+G148+G149+G150+G151+G152+G153+G154</f>
        <v>0</v>
      </c>
      <c r="H140" s="130">
        <f>H141+H142+H143+H144+H145+H146+H147+H148+H149+H150+H151+H152+H153+H154</f>
        <v>0</v>
      </c>
      <c r="I140" s="96">
        <f>J140+M140</f>
        <v>289512</v>
      </c>
      <c r="J140" s="92"/>
      <c r="K140" s="92"/>
      <c r="L140" s="92"/>
      <c r="M140" s="161">
        <f>N140</f>
        <v>289512</v>
      </c>
      <c r="N140" s="160">
        <f>SUM(N141:N154)</f>
        <v>289512</v>
      </c>
      <c r="O140" s="159">
        <f>SUM(O141:O154)</f>
        <v>0</v>
      </c>
      <c r="P140" s="80">
        <f>D140+I140</f>
        <v>1300424</v>
      </c>
      <c r="Q140" s="5"/>
    </row>
    <row r="141" spans="1:17" ht="17.25" customHeight="1" thickBot="1">
      <c r="A141" s="46" t="s">
        <v>106</v>
      </c>
      <c r="B141" s="90"/>
      <c r="C141" s="129"/>
      <c r="D141" s="145">
        <f>E141</f>
        <v>90337</v>
      </c>
      <c r="E141" s="147">
        <f>87967+2370</f>
        <v>90337</v>
      </c>
      <c r="F141" s="114"/>
      <c r="G141" s="131"/>
      <c r="H141" s="92"/>
      <c r="I141" s="125">
        <f>J141+M141</f>
        <v>22270</v>
      </c>
      <c r="J141" s="92"/>
      <c r="K141" s="92"/>
      <c r="L141" s="92"/>
      <c r="M141" s="92">
        <f>N141</f>
        <v>22270</v>
      </c>
      <c r="N141" s="92">
        <v>22270</v>
      </c>
      <c r="O141" s="93"/>
      <c r="P141" s="80">
        <f aca="true" t="shared" si="13" ref="P141:P153">D141+I141</f>
        <v>112607</v>
      </c>
      <c r="Q141" s="5"/>
    </row>
    <row r="142" spans="1:17" ht="15.75" customHeight="1" thickBot="1">
      <c r="A142" s="46" t="s">
        <v>107</v>
      </c>
      <c r="B142" s="90"/>
      <c r="C142" s="129"/>
      <c r="D142" s="145">
        <f aca="true" t="shared" si="14" ref="D142:D151">E142</f>
        <v>109143</v>
      </c>
      <c r="E142" s="147">
        <f>106773+2370</f>
        <v>109143</v>
      </c>
      <c r="F142" s="114"/>
      <c r="G142" s="131"/>
      <c r="H142" s="92"/>
      <c r="I142" s="125">
        <f aca="true" t="shared" si="15" ref="I142:I154">J142+M142</f>
        <v>22270</v>
      </c>
      <c r="J142" s="92"/>
      <c r="K142" s="92"/>
      <c r="L142" s="92"/>
      <c r="M142" s="92">
        <f aca="true" t="shared" si="16" ref="M142:M154">N142</f>
        <v>22270</v>
      </c>
      <c r="N142" s="92">
        <v>22270</v>
      </c>
      <c r="O142" s="93"/>
      <c r="P142" s="80">
        <f t="shared" si="13"/>
        <v>131413</v>
      </c>
      <c r="Q142" s="5"/>
    </row>
    <row r="143" spans="1:17" ht="15.75" customHeight="1" thickBot="1">
      <c r="A143" s="46" t="s">
        <v>108</v>
      </c>
      <c r="B143" s="90"/>
      <c r="C143" s="129"/>
      <c r="D143" s="145">
        <f t="shared" si="14"/>
        <v>98568</v>
      </c>
      <c r="E143" s="147">
        <f>96198+2370</f>
        <v>98568</v>
      </c>
      <c r="F143" s="114"/>
      <c r="G143" s="131"/>
      <c r="H143" s="92"/>
      <c r="I143" s="125">
        <f t="shared" si="15"/>
        <v>22270</v>
      </c>
      <c r="J143" s="92"/>
      <c r="K143" s="92"/>
      <c r="L143" s="92"/>
      <c r="M143" s="92">
        <f t="shared" si="16"/>
        <v>22270</v>
      </c>
      <c r="N143" s="92">
        <v>22270</v>
      </c>
      <c r="O143" s="93"/>
      <c r="P143" s="80">
        <f t="shared" si="13"/>
        <v>120838</v>
      </c>
      <c r="Q143" s="5"/>
    </row>
    <row r="144" spans="1:17" ht="16.5" customHeight="1" thickBot="1">
      <c r="A144" s="46" t="s">
        <v>109</v>
      </c>
      <c r="B144" s="90"/>
      <c r="C144" s="129"/>
      <c r="D144" s="145">
        <f t="shared" si="14"/>
        <v>0</v>
      </c>
      <c r="E144" s="148">
        <v>0</v>
      </c>
      <c r="F144" s="114"/>
      <c r="G144" s="131"/>
      <c r="H144" s="92"/>
      <c r="I144" s="125">
        <f t="shared" si="15"/>
        <v>0</v>
      </c>
      <c r="J144" s="92"/>
      <c r="K144" s="92"/>
      <c r="L144" s="92"/>
      <c r="M144" s="92">
        <f t="shared" si="16"/>
        <v>0</v>
      </c>
      <c r="N144" s="92">
        <v>0</v>
      </c>
      <c r="O144" s="93"/>
      <c r="P144" s="80">
        <f t="shared" si="13"/>
        <v>0</v>
      </c>
      <c r="Q144" s="5"/>
    </row>
    <row r="145" spans="1:17" ht="16.5" customHeight="1" thickBot="1">
      <c r="A145" s="46" t="s">
        <v>110</v>
      </c>
      <c r="B145" s="90"/>
      <c r="C145" s="129"/>
      <c r="D145" s="145">
        <f t="shared" si="14"/>
        <v>74130</v>
      </c>
      <c r="E145" s="148">
        <f>71760+2370</f>
        <v>74130</v>
      </c>
      <c r="F145" s="114"/>
      <c r="G145" s="131"/>
      <c r="H145" s="92"/>
      <c r="I145" s="125">
        <f t="shared" si="15"/>
        <v>22270</v>
      </c>
      <c r="J145" s="92"/>
      <c r="K145" s="92"/>
      <c r="L145" s="92"/>
      <c r="M145" s="92">
        <f t="shared" si="16"/>
        <v>22270</v>
      </c>
      <c r="N145" s="92">
        <v>22270</v>
      </c>
      <c r="O145" s="93"/>
      <c r="P145" s="80">
        <f t="shared" si="13"/>
        <v>96400</v>
      </c>
      <c r="Q145" s="5"/>
    </row>
    <row r="146" spans="1:17" ht="16.5" customHeight="1" thickBot="1">
      <c r="A146" s="46" t="s">
        <v>111</v>
      </c>
      <c r="B146" s="90"/>
      <c r="C146" s="129"/>
      <c r="D146" s="145">
        <f t="shared" si="14"/>
        <v>69581</v>
      </c>
      <c r="E146" s="148">
        <f>67211+2370</f>
        <v>69581</v>
      </c>
      <c r="F146" s="114"/>
      <c r="G146" s="131"/>
      <c r="H146" s="92"/>
      <c r="I146" s="125">
        <f t="shared" si="15"/>
        <v>22270</v>
      </c>
      <c r="J146" s="92"/>
      <c r="K146" s="92"/>
      <c r="L146" s="92"/>
      <c r="M146" s="92">
        <f t="shared" si="16"/>
        <v>22270</v>
      </c>
      <c r="N146" s="92">
        <v>22270</v>
      </c>
      <c r="O146" s="93"/>
      <c r="P146" s="80">
        <f t="shared" si="13"/>
        <v>91851</v>
      </c>
      <c r="Q146" s="5"/>
    </row>
    <row r="147" spans="1:17" ht="15.75" customHeight="1" thickBot="1">
      <c r="A147" s="46" t="s">
        <v>112</v>
      </c>
      <c r="B147" s="90"/>
      <c r="C147" s="129"/>
      <c r="D147" s="145">
        <f t="shared" si="14"/>
        <v>73047</v>
      </c>
      <c r="E147" s="149">
        <f>70677+2370</f>
        <v>73047</v>
      </c>
      <c r="F147" s="114"/>
      <c r="G147" s="131"/>
      <c r="H147" s="92"/>
      <c r="I147" s="125">
        <f t="shared" si="15"/>
        <v>22270</v>
      </c>
      <c r="J147" s="92"/>
      <c r="K147" s="92"/>
      <c r="L147" s="92"/>
      <c r="M147" s="92">
        <f t="shared" si="16"/>
        <v>22270</v>
      </c>
      <c r="N147" s="92">
        <v>22270</v>
      </c>
      <c r="O147" s="93"/>
      <c r="P147" s="80">
        <f t="shared" si="13"/>
        <v>95317</v>
      </c>
      <c r="Q147" s="5"/>
    </row>
    <row r="148" spans="1:17" ht="18" customHeight="1" thickBot="1">
      <c r="A148" s="46" t="s">
        <v>113</v>
      </c>
      <c r="B148" s="90"/>
      <c r="C148" s="129"/>
      <c r="D148" s="145">
        <f t="shared" si="14"/>
        <v>119181</v>
      </c>
      <c r="E148" s="149">
        <f>115626+3555</f>
        <v>119181</v>
      </c>
      <c r="F148" s="114"/>
      <c r="G148" s="131"/>
      <c r="H148" s="92"/>
      <c r="I148" s="125">
        <f t="shared" si="15"/>
        <v>22270</v>
      </c>
      <c r="J148" s="92"/>
      <c r="K148" s="92"/>
      <c r="L148" s="92"/>
      <c r="M148" s="92">
        <f t="shared" si="16"/>
        <v>22270</v>
      </c>
      <c r="N148" s="92">
        <v>22270</v>
      </c>
      <c r="O148" s="93"/>
      <c r="P148" s="80">
        <f t="shared" si="13"/>
        <v>141451</v>
      </c>
      <c r="Q148" s="5"/>
    </row>
    <row r="149" spans="1:17" ht="16.5" customHeight="1" thickBot="1">
      <c r="A149" s="46" t="s">
        <v>114</v>
      </c>
      <c r="B149" s="90"/>
      <c r="C149" s="129"/>
      <c r="D149" s="145">
        <f t="shared" si="14"/>
        <v>139058</v>
      </c>
      <c r="E149" s="149">
        <f>135503+3555</f>
        <v>139058</v>
      </c>
      <c r="F149" s="114"/>
      <c r="G149" s="131"/>
      <c r="H149" s="92"/>
      <c r="I149" s="125">
        <f t="shared" si="15"/>
        <v>44542</v>
      </c>
      <c r="J149" s="92"/>
      <c r="K149" s="92"/>
      <c r="L149" s="92"/>
      <c r="M149" s="92">
        <f t="shared" si="16"/>
        <v>44542</v>
      </c>
      <c r="N149" s="92">
        <v>44542</v>
      </c>
      <c r="O149" s="93"/>
      <c r="P149" s="80">
        <f t="shared" si="13"/>
        <v>183600</v>
      </c>
      <c r="Q149" s="5"/>
    </row>
    <row r="150" spans="1:17" ht="16.5" customHeight="1" thickBot="1">
      <c r="A150" s="46" t="s">
        <v>115</v>
      </c>
      <c r="B150" s="90"/>
      <c r="C150" s="129"/>
      <c r="D150" s="145">
        <f t="shared" si="14"/>
        <v>126867</v>
      </c>
      <c r="E150" s="149">
        <f>124497+2370</f>
        <v>126867</v>
      </c>
      <c r="F150" s="114"/>
      <c r="G150" s="131"/>
      <c r="H150" s="92"/>
      <c r="I150" s="125">
        <f t="shared" si="15"/>
        <v>22270</v>
      </c>
      <c r="J150" s="92"/>
      <c r="K150" s="92"/>
      <c r="L150" s="92"/>
      <c r="M150" s="92">
        <f t="shared" si="16"/>
        <v>22270</v>
      </c>
      <c r="N150" s="92">
        <v>22270</v>
      </c>
      <c r="O150" s="93"/>
      <c r="P150" s="80">
        <f t="shared" si="13"/>
        <v>149137</v>
      </c>
      <c r="Q150" s="5"/>
    </row>
    <row r="151" spans="1:17" ht="17.25" customHeight="1" thickBot="1">
      <c r="A151" s="46" t="s">
        <v>116</v>
      </c>
      <c r="B151" s="90"/>
      <c r="C151" s="129"/>
      <c r="D151" s="146">
        <f t="shared" si="14"/>
        <v>0</v>
      </c>
      <c r="E151" s="147">
        <v>0</v>
      </c>
      <c r="F151" s="144"/>
      <c r="G151" s="131"/>
      <c r="H151" s="92"/>
      <c r="I151" s="125">
        <f t="shared" si="15"/>
        <v>0</v>
      </c>
      <c r="J151" s="92"/>
      <c r="K151" s="92"/>
      <c r="L151" s="92"/>
      <c r="M151" s="92">
        <f t="shared" si="16"/>
        <v>0</v>
      </c>
      <c r="N151" s="92">
        <v>0</v>
      </c>
      <c r="O151" s="93"/>
      <c r="P151" s="80">
        <f t="shared" si="13"/>
        <v>0</v>
      </c>
      <c r="Q151" s="5"/>
    </row>
    <row r="152" spans="1:17" ht="18" customHeight="1" thickBot="1">
      <c r="A152" s="46" t="s">
        <v>117</v>
      </c>
      <c r="B152" s="90"/>
      <c r="C152" s="129"/>
      <c r="D152" s="146">
        <f>E152</f>
        <v>64598</v>
      </c>
      <c r="E152" s="148">
        <f>62228+2370</f>
        <v>64598</v>
      </c>
      <c r="F152" s="144"/>
      <c r="G152" s="131"/>
      <c r="H152" s="92"/>
      <c r="I152" s="125">
        <f t="shared" si="15"/>
        <v>22270</v>
      </c>
      <c r="J152" s="92"/>
      <c r="K152" s="92"/>
      <c r="L152" s="92"/>
      <c r="M152" s="92">
        <f t="shared" si="16"/>
        <v>22270</v>
      </c>
      <c r="N152" s="92">
        <v>22270</v>
      </c>
      <c r="O152" s="93"/>
      <c r="P152" s="80">
        <f t="shared" si="13"/>
        <v>86868</v>
      </c>
      <c r="Q152" s="5"/>
    </row>
    <row r="153" spans="1:17" ht="18" customHeight="1" thickBot="1">
      <c r="A153" s="46" t="s">
        <v>118</v>
      </c>
      <c r="B153" s="90"/>
      <c r="C153" s="129"/>
      <c r="D153" s="146">
        <f>E153</f>
        <v>24934</v>
      </c>
      <c r="E153" s="148">
        <f>23749+1185</f>
        <v>24934</v>
      </c>
      <c r="F153" s="144"/>
      <c r="G153" s="131"/>
      <c r="H153" s="92"/>
      <c r="I153" s="125">
        <f t="shared" si="15"/>
        <v>22270</v>
      </c>
      <c r="J153" s="92"/>
      <c r="K153" s="92"/>
      <c r="L153" s="92"/>
      <c r="M153" s="92">
        <f t="shared" si="16"/>
        <v>22270</v>
      </c>
      <c r="N153" s="92">
        <v>22270</v>
      </c>
      <c r="O153" s="93"/>
      <c r="P153" s="80">
        <f t="shared" si="13"/>
        <v>47204</v>
      </c>
      <c r="Q153" s="5"/>
    </row>
    <row r="154" spans="1:17" ht="26.25" customHeight="1" thickBot="1">
      <c r="A154" s="46" t="s">
        <v>119</v>
      </c>
      <c r="B154" s="90"/>
      <c r="C154" s="129"/>
      <c r="D154" s="146">
        <f>E154</f>
        <v>21468</v>
      </c>
      <c r="E154" s="147">
        <f>20283+1185</f>
        <v>21468</v>
      </c>
      <c r="F154" s="114"/>
      <c r="G154" s="131"/>
      <c r="H154" s="92"/>
      <c r="I154" s="125">
        <f t="shared" si="15"/>
        <v>22270</v>
      </c>
      <c r="J154" s="92"/>
      <c r="K154" s="92"/>
      <c r="L154" s="92"/>
      <c r="M154" s="92">
        <f t="shared" si="16"/>
        <v>22270</v>
      </c>
      <c r="N154" s="92">
        <v>22270</v>
      </c>
      <c r="O154" s="93"/>
      <c r="P154" s="80">
        <f>D154+I154</f>
        <v>43738</v>
      </c>
      <c r="Q154" s="5"/>
    </row>
    <row r="155" spans="1:19" ht="52.5" customHeight="1" hidden="1" thickBot="1">
      <c r="A155" s="128" t="s">
        <v>155</v>
      </c>
      <c r="B155" s="150" t="s">
        <v>156</v>
      </c>
      <c r="C155" s="129" t="s">
        <v>153</v>
      </c>
      <c r="D155" s="163">
        <f aca="true" t="shared" si="17" ref="D155:O155">D156+D157+D158+D159+D160+D161+D162+D163+D164+D165+D166+D167+D168+D169</f>
        <v>0</v>
      </c>
      <c r="E155" s="163">
        <f t="shared" si="17"/>
        <v>0</v>
      </c>
      <c r="F155" s="130">
        <f t="shared" si="17"/>
        <v>0</v>
      </c>
      <c r="G155" s="130">
        <f t="shared" si="17"/>
        <v>0</v>
      </c>
      <c r="H155" s="130">
        <f t="shared" si="17"/>
        <v>0</v>
      </c>
      <c r="I155" s="130">
        <f t="shared" si="17"/>
        <v>0</v>
      </c>
      <c r="J155" s="130">
        <f t="shared" si="17"/>
        <v>0</v>
      </c>
      <c r="K155" s="130">
        <f t="shared" si="17"/>
        <v>0</v>
      </c>
      <c r="L155" s="130">
        <f t="shared" si="17"/>
        <v>0</v>
      </c>
      <c r="M155" s="130">
        <f t="shared" si="17"/>
        <v>0</v>
      </c>
      <c r="N155" s="130">
        <f t="shared" si="17"/>
        <v>0</v>
      </c>
      <c r="O155" s="151">
        <f t="shared" si="17"/>
        <v>0</v>
      </c>
      <c r="P155" s="80">
        <f>D155+I155</f>
        <v>0</v>
      </c>
      <c r="Q155" s="5"/>
      <c r="R155" s="152"/>
      <c r="S155" s="152"/>
    </row>
    <row r="156" spans="1:17" ht="18" customHeight="1" hidden="1" thickBot="1">
      <c r="A156" s="46" t="s">
        <v>106</v>
      </c>
      <c r="B156" s="90"/>
      <c r="C156" s="129"/>
      <c r="D156" s="125"/>
      <c r="E156" s="130"/>
      <c r="F156" s="114"/>
      <c r="G156" s="131"/>
      <c r="H156" s="92"/>
      <c r="I156" s="125"/>
      <c r="J156" s="92"/>
      <c r="K156" s="92"/>
      <c r="L156" s="92"/>
      <c r="M156" s="92"/>
      <c r="N156" s="92"/>
      <c r="O156" s="93"/>
      <c r="P156" s="80">
        <f aca="true" t="shared" si="18" ref="P156:P169">D156+I156</f>
        <v>0</v>
      </c>
      <c r="Q156" s="5"/>
    </row>
    <row r="157" spans="1:17" ht="15" customHeight="1" hidden="1" thickBot="1">
      <c r="A157" s="46" t="s">
        <v>107</v>
      </c>
      <c r="B157" s="90"/>
      <c r="C157" s="129"/>
      <c r="D157" s="125"/>
      <c r="E157" s="130"/>
      <c r="F157" s="114"/>
      <c r="G157" s="131"/>
      <c r="H157" s="92"/>
      <c r="I157" s="125"/>
      <c r="J157" s="92"/>
      <c r="K157" s="92"/>
      <c r="L157" s="92"/>
      <c r="M157" s="92"/>
      <c r="N157" s="92"/>
      <c r="O157" s="93"/>
      <c r="P157" s="80">
        <f t="shared" si="18"/>
        <v>0</v>
      </c>
      <c r="Q157" s="5"/>
    </row>
    <row r="158" spans="1:17" ht="15.75" customHeight="1" hidden="1" thickBot="1">
      <c r="A158" s="46" t="s">
        <v>108</v>
      </c>
      <c r="B158" s="90"/>
      <c r="C158" s="129"/>
      <c r="D158" s="125"/>
      <c r="E158" s="130"/>
      <c r="F158" s="114"/>
      <c r="G158" s="131"/>
      <c r="H158" s="92"/>
      <c r="I158" s="125"/>
      <c r="J158" s="92"/>
      <c r="K158" s="92"/>
      <c r="L158" s="92"/>
      <c r="M158" s="92"/>
      <c r="N158" s="92"/>
      <c r="O158" s="93"/>
      <c r="P158" s="80">
        <f t="shared" si="18"/>
        <v>0</v>
      </c>
      <c r="Q158" s="5"/>
    </row>
    <row r="159" spans="1:17" ht="17.25" customHeight="1" hidden="1" thickBot="1">
      <c r="A159" s="46" t="s">
        <v>109</v>
      </c>
      <c r="B159" s="90"/>
      <c r="C159" s="129"/>
      <c r="D159" s="125"/>
      <c r="E159" s="130"/>
      <c r="F159" s="114"/>
      <c r="G159" s="131"/>
      <c r="H159" s="92"/>
      <c r="I159" s="125"/>
      <c r="J159" s="92"/>
      <c r="K159" s="92"/>
      <c r="L159" s="92"/>
      <c r="M159" s="92"/>
      <c r="N159" s="92"/>
      <c r="O159" s="93"/>
      <c r="P159" s="80">
        <f t="shared" si="18"/>
        <v>0</v>
      </c>
      <c r="Q159" s="5"/>
    </row>
    <row r="160" spans="1:17" ht="15" customHeight="1" hidden="1" thickBot="1">
      <c r="A160" s="46" t="s">
        <v>110</v>
      </c>
      <c r="B160" s="90"/>
      <c r="C160" s="129"/>
      <c r="D160" s="125"/>
      <c r="E160" s="130"/>
      <c r="F160" s="114"/>
      <c r="G160" s="131"/>
      <c r="H160" s="92"/>
      <c r="I160" s="125"/>
      <c r="J160" s="92"/>
      <c r="K160" s="92"/>
      <c r="L160" s="92"/>
      <c r="M160" s="92"/>
      <c r="N160" s="92"/>
      <c r="O160" s="93"/>
      <c r="P160" s="80">
        <f t="shared" si="18"/>
        <v>0</v>
      </c>
      <c r="Q160" s="5"/>
    </row>
    <row r="161" spans="1:17" ht="18" customHeight="1" hidden="1" thickBot="1">
      <c r="A161" s="46" t="s">
        <v>111</v>
      </c>
      <c r="B161" s="90"/>
      <c r="C161" s="129"/>
      <c r="D161" s="125"/>
      <c r="E161" s="130"/>
      <c r="F161" s="114"/>
      <c r="G161" s="131"/>
      <c r="H161" s="92"/>
      <c r="I161" s="125"/>
      <c r="J161" s="92"/>
      <c r="K161" s="92"/>
      <c r="L161" s="92"/>
      <c r="M161" s="92"/>
      <c r="N161" s="92"/>
      <c r="O161" s="93"/>
      <c r="P161" s="80">
        <f t="shared" si="18"/>
        <v>0</v>
      </c>
      <c r="Q161" s="5"/>
    </row>
    <row r="162" spans="1:17" ht="18" customHeight="1" hidden="1" thickBot="1">
      <c r="A162" s="46" t="s">
        <v>112</v>
      </c>
      <c r="B162" s="90"/>
      <c r="C162" s="129"/>
      <c r="D162" s="125"/>
      <c r="E162" s="130"/>
      <c r="F162" s="114"/>
      <c r="G162" s="131"/>
      <c r="H162" s="92"/>
      <c r="I162" s="125"/>
      <c r="J162" s="92"/>
      <c r="K162" s="92"/>
      <c r="L162" s="92"/>
      <c r="M162" s="92"/>
      <c r="N162" s="92"/>
      <c r="O162" s="93"/>
      <c r="P162" s="80">
        <f t="shared" si="18"/>
        <v>0</v>
      </c>
      <c r="Q162" s="5"/>
    </row>
    <row r="163" spans="1:17" ht="17.25" customHeight="1" hidden="1" thickBot="1">
      <c r="A163" s="46" t="s">
        <v>113</v>
      </c>
      <c r="B163" s="90"/>
      <c r="C163" s="129"/>
      <c r="D163" s="125"/>
      <c r="E163" s="130"/>
      <c r="F163" s="114"/>
      <c r="G163" s="131"/>
      <c r="H163" s="92"/>
      <c r="I163" s="125"/>
      <c r="J163" s="92"/>
      <c r="K163" s="92"/>
      <c r="L163" s="92"/>
      <c r="M163" s="92"/>
      <c r="N163" s="92"/>
      <c r="O163" s="93"/>
      <c r="P163" s="80">
        <f t="shared" si="18"/>
        <v>0</v>
      </c>
      <c r="Q163" s="5"/>
    </row>
    <row r="164" spans="1:17" ht="18.75" customHeight="1" hidden="1" thickBot="1">
      <c r="A164" s="46" t="s">
        <v>114</v>
      </c>
      <c r="B164" s="90"/>
      <c r="C164" s="129"/>
      <c r="D164" s="125"/>
      <c r="E164" s="130"/>
      <c r="F164" s="114"/>
      <c r="G164" s="131"/>
      <c r="H164" s="92"/>
      <c r="I164" s="125"/>
      <c r="J164" s="92"/>
      <c r="K164" s="92"/>
      <c r="L164" s="92"/>
      <c r="M164" s="92"/>
      <c r="N164" s="92"/>
      <c r="O164" s="93"/>
      <c r="P164" s="80">
        <f t="shared" si="18"/>
        <v>0</v>
      </c>
      <c r="Q164" s="5"/>
    </row>
    <row r="165" spans="1:17" ht="18" customHeight="1" hidden="1" thickBot="1">
      <c r="A165" s="46" t="s">
        <v>115</v>
      </c>
      <c r="B165" s="90"/>
      <c r="C165" s="129"/>
      <c r="D165" s="125"/>
      <c r="E165" s="130"/>
      <c r="F165" s="114"/>
      <c r="G165" s="131"/>
      <c r="H165" s="92"/>
      <c r="I165" s="125"/>
      <c r="J165" s="92"/>
      <c r="K165" s="92"/>
      <c r="L165" s="92"/>
      <c r="M165" s="92"/>
      <c r="N165" s="92"/>
      <c r="O165" s="93"/>
      <c r="P165" s="80">
        <f t="shared" si="18"/>
        <v>0</v>
      </c>
      <c r="Q165" s="5"/>
    </row>
    <row r="166" spans="1:17" ht="15.75" customHeight="1" hidden="1" thickBot="1">
      <c r="A166" s="46" t="s">
        <v>116</v>
      </c>
      <c r="B166" s="90"/>
      <c r="C166" s="129"/>
      <c r="D166" s="125"/>
      <c r="E166" s="130"/>
      <c r="F166" s="114"/>
      <c r="G166" s="131"/>
      <c r="H166" s="92"/>
      <c r="I166" s="125"/>
      <c r="J166" s="92"/>
      <c r="K166" s="92"/>
      <c r="L166" s="92"/>
      <c r="M166" s="92"/>
      <c r="N166" s="92"/>
      <c r="O166" s="93"/>
      <c r="P166" s="80">
        <f t="shared" si="18"/>
        <v>0</v>
      </c>
      <c r="Q166" s="5"/>
    </row>
    <row r="167" spans="1:17" ht="15.75" customHeight="1" hidden="1" thickBot="1">
      <c r="A167" s="46" t="s">
        <v>117</v>
      </c>
      <c r="B167" s="90"/>
      <c r="C167" s="129"/>
      <c r="D167" s="125"/>
      <c r="E167" s="130"/>
      <c r="F167" s="114"/>
      <c r="G167" s="131"/>
      <c r="H167" s="92"/>
      <c r="I167" s="125"/>
      <c r="J167" s="92"/>
      <c r="K167" s="92"/>
      <c r="L167" s="92"/>
      <c r="M167" s="92"/>
      <c r="N167" s="92"/>
      <c r="O167" s="93"/>
      <c r="P167" s="80">
        <f t="shared" si="18"/>
        <v>0</v>
      </c>
      <c r="Q167" s="5"/>
    </row>
    <row r="168" spans="1:17" ht="18" customHeight="1" hidden="1" thickBot="1">
      <c r="A168" s="46" t="s">
        <v>118</v>
      </c>
      <c r="B168" s="90"/>
      <c r="C168" s="129"/>
      <c r="D168" s="125"/>
      <c r="E168" s="130"/>
      <c r="F168" s="114"/>
      <c r="G168" s="131"/>
      <c r="H168" s="92"/>
      <c r="I168" s="125"/>
      <c r="J168" s="92"/>
      <c r="K168" s="92"/>
      <c r="L168" s="92"/>
      <c r="M168" s="92"/>
      <c r="N168" s="92"/>
      <c r="O168" s="93"/>
      <c r="P168" s="80">
        <f t="shared" si="18"/>
        <v>0</v>
      </c>
      <c r="Q168" s="5"/>
    </row>
    <row r="169" spans="1:17" ht="21" customHeight="1" hidden="1" thickBot="1">
      <c r="A169" s="46" t="s">
        <v>119</v>
      </c>
      <c r="B169" s="90"/>
      <c r="C169" s="129"/>
      <c r="D169" s="125"/>
      <c r="E169" s="130"/>
      <c r="F169" s="114"/>
      <c r="G169" s="131"/>
      <c r="H169" s="92"/>
      <c r="I169" s="125"/>
      <c r="J169" s="92"/>
      <c r="K169" s="92"/>
      <c r="L169" s="92"/>
      <c r="M169" s="92"/>
      <c r="N169" s="92"/>
      <c r="O169" s="93"/>
      <c r="P169" s="80">
        <f t="shared" si="18"/>
        <v>0</v>
      </c>
      <c r="Q169" s="5"/>
    </row>
    <row r="170" spans="1:23" ht="27" customHeight="1" thickBot="1">
      <c r="A170" s="62" t="s">
        <v>155</v>
      </c>
      <c r="B170" s="122" t="s">
        <v>125</v>
      </c>
      <c r="C170" s="164" t="s">
        <v>126</v>
      </c>
      <c r="D170" s="58">
        <f>D171+D172+D173+D174+D175+D176+D177+D178+D179+D180+D181+D182+D183+D184</f>
        <v>48922707</v>
      </c>
      <c r="E170" s="58">
        <f>E171+E172+E173+E174+E175+E176+E177+E178+E179+E180+E181+E182+E183+E184</f>
        <v>48922707</v>
      </c>
      <c r="F170" s="108">
        <f>F171+F172+F173+F174+F175+F176+F177+F178+F179+F180+F181+F182+F183+F184</f>
        <v>22959739</v>
      </c>
      <c r="G170" s="58">
        <f>G171+G172+G173+G174+G175+G176+G177+G178+G179+G180+G181+G182+G183+G184</f>
        <v>16359305</v>
      </c>
      <c r="H170" s="58"/>
      <c r="I170" s="96">
        <f aca="true" t="shared" si="19" ref="I170:I176">J170+M170</f>
        <v>4204312</v>
      </c>
      <c r="J170" s="96">
        <f>J171+J172+J173+J174+J175+J176+J177+J178+J179+J180+J181+J182+J183+J184</f>
        <v>2067854</v>
      </c>
      <c r="K170" s="58">
        <f>K171+K172+K173+K174+K175+K176+K177+K178+K179+K180+K181+K182+K183+K184</f>
        <v>979636</v>
      </c>
      <c r="L170" s="63">
        <f>L171+L172+L173+L174+L175+L176+L177+L178+L179+L180+L181+L182+L183+L184</f>
        <v>28258</v>
      </c>
      <c r="M170" s="58">
        <f>M171+M172+M173+M174+M175+M176+M177+M178+M179+M180+M181+M182+M183+M184</f>
        <v>2136458</v>
      </c>
      <c r="N170" s="58">
        <f>N171+N172+N173+N174+N175+N176+N177+N178+N179+N180+N181+N182+N183+N184</f>
        <v>1860314</v>
      </c>
      <c r="O170" s="16">
        <v>0</v>
      </c>
      <c r="P170" s="133">
        <f>D170+I170</f>
        <v>53127019</v>
      </c>
      <c r="Q170" s="5"/>
      <c r="S170" s="97"/>
      <c r="T170" s="97"/>
      <c r="U170" s="97"/>
      <c r="V170" s="165" t="s">
        <v>157</v>
      </c>
      <c r="W170" s="165"/>
    </row>
    <row r="171" spans="1:23" ht="17.25" thickBot="1">
      <c r="A171" s="46" t="s">
        <v>106</v>
      </c>
      <c r="B171" s="26"/>
      <c r="C171" s="27"/>
      <c r="D171" s="49">
        <f aca="true" t="shared" si="20" ref="D171:D184">E171</f>
        <v>4072345</v>
      </c>
      <c r="E171" s="49">
        <f>4092766-30000+9579</f>
        <v>4072345</v>
      </c>
      <c r="F171" s="49">
        <f>1707248</f>
        <v>1707248</v>
      </c>
      <c r="G171" s="28">
        <f>1216429+6834</f>
        <v>1223263</v>
      </c>
      <c r="H171" s="28"/>
      <c r="I171" s="43">
        <f t="shared" si="19"/>
        <v>550924</v>
      </c>
      <c r="J171" s="28">
        <f>435792+7067+20000</f>
        <v>462859</v>
      </c>
      <c r="K171" s="28">
        <f>208844+45946</f>
        <v>254790</v>
      </c>
      <c r="L171" s="28">
        <v>14604</v>
      </c>
      <c r="M171" s="28">
        <f>N171</f>
        <v>88065</v>
      </c>
      <c r="N171" s="126">
        <f>85591+2474</f>
        <v>88065</v>
      </c>
      <c r="O171" s="29"/>
      <c r="P171" s="133">
        <f aca="true" t="shared" si="21" ref="P171:P184">D171+I171</f>
        <v>4623269</v>
      </c>
      <c r="Q171" s="5">
        <v>1</v>
      </c>
      <c r="S171" s="127" t="s">
        <v>147</v>
      </c>
      <c r="T171" s="6" t="s">
        <v>144</v>
      </c>
      <c r="V171" s="165">
        <v>1</v>
      </c>
      <c r="W171" s="165">
        <v>20000</v>
      </c>
    </row>
    <row r="172" spans="1:23" ht="17.25" thickBot="1">
      <c r="A172" s="46" t="s">
        <v>107</v>
      </c>
      <c r="B172" s="26"/>
      <c r="C172" s="27"/>
      <c r="D172" s="49">
        <f t="shared" si="20"/>
        <v>7085419</v>
      </c>
      <c r="E172" s="49">
        <f>7073861+11558</f>
        <v>7085419</v>
      </c>
      <c r="F172" s="49">
        <f>4020536</f>
        <v>4020536</v>
      </c>
      <c r="G172" s="28">
        <f>2078933+24496</f>
        <v>2103429</v>
      </c>
      <c r="H172" s="28"/>
      <c r="I172" s="43">
        <f t="shared" si="19"/>
        <v>438458</v>
      </c>
      <c r="J172" s="28">
        <f>399107+3059</f>
        <v>402166</v>
      </c>
      <c r="K172" s="28">
        <f>25123+5527</f>
        <v>30650</v>
      </c>
      <c r="L172" s="28">
        <v>2688</v>
      </c>
      <c r="M172" s="28">
        <f>33388+430+2474</f>
        <v>36292</v>
      </c>
      <c r="N172" s="28">
        <v>2474</v>
      </c>
      <c r="O172" s="29"/>
      <c r="P172" s="133">
        <f t="shared" si="21"/>
        <v>7523877</v>
      </c>
      <c r="Q172" s="5">
        <v>2</v>
      </c>
      <c r="S172" s="127"/>
      <c r="V172" s="165">
        <v>2</v>
      </c>
      <c r="W172" s="165" t="s">
        <v>158</v>
      </c>
    </row>
    <row r="173" spans="1:19" s="77" customFormat="1" ht="15.75" customHeight="1" thickBot="1">
      <c r="A173" s="46" t="s">
        <v>108</v>
      </c>
      <c r="B173" s="26"/>
      <c r="C173" s="27"/>
      <c r="D173" s="49">
        <f t="shared" si="20"/>
        <v>3573984</v>
      </c>
      <c r="E173" s="49">
        <f>3563988+9996</f>
        <v>3573984</v>
      </c>
      <c r="F173" s="49">
        <f>1353339</f>
        <v>1353339</v>
      </c>
      <c r="G173" s="28">
        <f>1199313+7786</f>
        <v>1207099</v>
      </c>
      <c r="H173" s="28"/>
      <c r="I173" s="22">
        <f t="shared" si="19"/>
        <v>50479</v>
      </c>
      <c r="J173" s="28">
        <v>48000</v>
      </c>
      <c r="K173" s="28"/>
      <c r="L173" s="28"/>
      <c r="M173" s="28">
        <f aca="true" t="shared" si="22" ref="M173:M184">N173</f>
        <v>2479</v>
      </c>
      <c r="N173" s="28">
        <v>2479</v>
      </c>
      <c r="O173" s="29"/>
      <c r="P173" s="133">
        <f t="shared" si="21"/>
        <v>3624463</v>
      </c>
      <c r="Q173" s="5">
        <v>3</v>
      </c>
      <c r="S173" s="127"/>
    </row>
    <row r="174" spans="1:21" s="77" customFormat="1" ht="17.25" thickBot="1">
      <c r="A174" s="46" t="s">
        <v>109</v>
      </c>
      <c r="B174" s="26"/>
      <c r="C174" s="27"/>
      <c r="D174" s="49">
        <f t="shared" si="20"/>
        <v>2754940</v>
      </c>
      <c r="E174" s="98">
        <f>2756830-1890</f>
        <v>2754940</v>
      </c>
      <c r="F174" s="49">
        <f>1167026</f>
        <v>1167026</v>
      </c>
      <c r="G174" s="28">
        <f>1234379+5679</f>
        <v>1240058</v>
      </c>
      <c r="H174" s="28"/>
      <c r="I174" s="22">
        <f t="shared" si="19"/>
        <v>122</v>
      </c>
      <c r="J174" s="28">
        <v>122</v>
      </c>
      <c r="K174" s="28"/>
      <c r="L174" s="28"/>
      <c r="M174" s="28">
        <f t="shared" si="22"/>
        <v>0</v>
      </c>
      <c r="N174" s="28"/>
      <c r="O174" s="29"/>
      <c r="P174" s="133">
        <f t="shared" si="21"/>
        <v>2755062</v>
      </c>
      <c r="Q174" s="5">
        <v>4</v>
      </c>
      <c r="S174" s="127"/>
      <c r="U174" s="95"/>
    </row>
    <row r="175" spans="1:19" s="77" customFormat="1" ht="17.25" thickBot="1">
      <c r="A175" s="46" t="s">
        <v>110</v>
      </c>
      <c r="B175" s="26"/>
      <c r="C175" s="27"/>
      <c r="D175" s="49">
        <f t="shared" si="20"/>
        <v>3041028</v>
      </c>
      <c r="E175" s="49">
        <f>2963403+68000+7735+1890</f>
        <v>3041028</v>
      </c>
      <c r="F175" s="28">
        <f>1493391</f>
        <v>1493391</v>
      </c>
      <c r="G175" s="28">
        <f>752613+7380</f>
        <v>759993</v>
      </c>
      <c r="H175" s="28"/>
      <c r="I175" s="22">
        <f t="shared" si="19"/>
        <v>274578</v>
      </c>
      <c r="J175" s="28">
        <v>97588</v>
      </c>
      <c r="K175" s="28"/>
      <c r="L175" s="28"/>
      <c r="M175" s="28">
        <f t="shared" si="22"/>
        <v>176990</v>
      </c>
      <c r="N175" s="28">
        <f>54516+120000+2474</f>
        <v>176990</v>
      </c>
      <c r="O175" s="29"/>
      <c r="P175" s="133">
        <f t="shared" si="21"/>
        <v>3315606</v>
      </c>
      <c r="Q175" s="5">
        <v>5</v>
      </c>
      <c r="S175" s="127"/>
    </row>
    <row r="176" spans="1:19" s="77" customFormat="1" ht="17.25" thickBot="1">
      <c r="A176" s="46" t="s">
        <v>111</v>
      </c>
      <c r="B176" s="26"/>
      <c r="C176" s="27"/>
      <c r="D176" s="49">
        <f t="shared" si="20"/>
        <v>3761057</v>
      </c>
      <c r="E176" s="49">
        <f>3763557-10000+7500</f>
        <v>3761057</v>
      </c>
      <c r="F176" s="49">
        <f>1802665</f>
        <v>1802665</v>
      </c>
      <c r="G176" s="28">
        <f>1193808+9022</f>
        <v>1202830</v>
      </c>
      <c r="H176" s="28"/>
      <c r="I176" s="22">
        <f t="shared" si="19"/>
        <v>208617</v>
      </c>
      <c r="J176" s="28">
        <v>39935</v>
      </c>
      <c r="K176" s="28"/>
      <c r="L176" s="28"/>
      <c r="M176" s="28">
        <f t="shared" si="22"/>
        <v>168682</v>
      </c>
      <c r="N176" s="28">
        <f>166208+2474</f>
        <v>168682</v>
      </c>
      <c r="O176" s="29"/>
      <c r="P176" s="133">
        <f t="shared" si="21"/>
        <v>3969674</v>
      </c>
      <c r="Q176" s="5">
        <v>6</v>
      </c>
      <c r="S176" s="127"/>
    </row>
    <row r="177" spans="1:19" s="77" customFormat="1" ht="17.25" thickBot="1">
      <c r="A177" s="46" t="s">
        <v>112</v>
      </c>
      <c r="B177" s="26"/>
      <c r="C177" s="27"/>
      <c r="D177" s="49">
        <f t="shared" si="20"/>
        <v>3123086</v>
      </c>
      <c r="E177" s="49">
        <f>3109197+6210+7679</f>
        <v>3123086</v>
      </c>
      <c r="F177" s="28">
        <f>1695241</f>
        <v>1695241</v>
      </c>
      <c r="G177" s="28">
        <f>934879+16844</f>
        <v>951723</v>
      </c>
      <c r="H177" s="28"/>
      <c r="I177" s="22">
        <f aca="true" t="shared" si="23" ref="I177:I184">J177+M177</f>
        <v>100754</v>
      </c>
      <c r="J177" s="28">
        <v>98280</v>
      </c>
      <c r="K177" s="28"/>
      <c r="L177" s="28"/>
      <c r="M177" s="28">
        <f t="shared" si="22"/>
        <v>2474</v>
      </c>
      <c r="N177" s="28">
        <v>2474</v>
      </c>
      <c r="O177" s="29"/>
      <c r="P177" s="133">
        <f t="shared" si="21"/>
        <v>3223840</v>
      </c>
      <c r="Q177" s="5">
        <v>7</v>
      </c>
      <c r="S177" s="127"/>
    </row>
    <row r="178" spans="1:19" s="77" customFormat="1" ht="17.25" thickBot="1">
      <c r="A178" s="46" t="s">
        <v>113</v>
      </c>
      <c r="B178" s="26"/>
      <c r="C178" s="27"/>
      <c r="D178" s="49">
        <f t="shared" si="20"/>
        <v>5057271</v>
      </c>
      <c r="E178" s="49">
        <f>5059249-15000+13022</f>
        <v>5057271</v>
      </c>
      <c r="F178" s="28">
        <f>1926646</f>
        <v>1926646</v>
      </c>
      <c r="G178" s="28">
        <f>2386949+8527</f>
        <v>2395476</v>
      </c>
      <c r="H178" s="28"/>
      <c r="I178" s="22">
        <f>J178+M178</f>
        <v>343346</v>
      </c>
      <c r="J178" s="28">
        <v>187507</v>
      </c>
      <c r="K178" s="28">
        <f>37312+8209</f>
        <v>45521</v>
      </c>
      <c r="L178" s="28">
        <f>3386</f>
        <v>3386</v>
      </c>
      <c r="M178" s="28">
        <f t="shared" si="22"/>
        <v>155839</v>
      </c>
      <c r="N178" s="28">
        <f>153365+2474</f>
        <v>155839</v>
      </c>
      <c r="O178" s="29"/>
      <c r="P178" s="133">
        <f t="shared" si="21"/>
        <v>5400617</v>
      </c>
      <c r="Q178" s="5">
        <v>8</v>
      </c>
      <c r="S178" s="127"/>
    </row>
    <row r="179" spans="1:19" s="77" customFormat="1" ht="17.25" thickBot="1">
      <c r="A179" s="46" t="s">
        <v>114</v>
      </c>
      <c r="B179" s="26"/>
      <c r="C179" s="27"/>
      <c r="D179" s="49">
        <f t="shared" si="20"/>
        <v>3559187</v>
      </c>
      <c r="E179" s="49">
        <f>3544119+15068</f>
        <v>3559187</v>
      </c>
      <c r="F179" s="28">
        <f>1623859</f>
        <v>1623859</v>
      </c>
      <c r="G179" s="28">
        <f>1144692+8910</f>
        <v>1153602</v>
      </c>
      <c r="H179" s="28"/>
      <c r="I179" s="22">
        <f t="shared" si="23"/>
        <v>250207</v>
      </c>
      <c r="J179" s="28">
        <v>37800</v>
      </c>
      <c r="K179" s="28"/>
      <c r="L179" s="28"/>
      <c r="M179" s="28">
        <f t="shared" si="22"/>
        <v>212407</v>
      </c>
      <c r="N179" s="28">
        <f>207458+4949</f>
        <v>212407</v>
      </c>
      <c r="O179" s="29"/>
      <c r="P179" s="133">
        <f t="shared" si="21"/>
        <v>3809394</v>
      </c>
      <c r="Q179" s="5">
        <v>9</v>
      </c>
      <c r="S179" s="127"/>
    </row>
    <row r="180" spans="1:23" s="77" customFormat="1" ht="17.25" thickBot="1">
      <c r="A180" s="46" t="s">
        <v>115</v>
      </c>
      <c r="B180" s="26"/>
      <c r="C180" s="27"/>
      <c r="D180" s="49">
        <f t="shared" si="20"/>
        <v>5137550</v>
      </c>
      <c r="E180" s="140">
        <f>4908128+158388+57553+13481</f>
        <v>5137550</v>
      </c>
      <c r="F180" s="28">
        <f>1959541</f>
        <v>1959541</v>
      </c>
      <c r="G180" s="28">
        <f>2208777+15422</f>
        <v>2224199</v>
      </c>
      <c r="H180" s="28"/>
      <c r="I180" s="22">
        <f t="shared" si="23"/>
        <v>563002</v>
      </c>
      <c r="J180" s="28">
        <v>2450</v>
      </c>
      <c r="K180" s="28"/>
      <c r="L180" s="28"/>
      <c r="M180" s="28">
        <f t="shared" si="22"/>
        <v>560552</v>
      </c>
      <c r="N180" s="28">
        <f>158078+400000+2474</f>
        <v>560552</v>
      </c>
      <c r="O180" s="29"/>
      <c r="P180" s="133">
        <f t="shared" si="21"/>
        <v>5700552</v>
      </c>
      <c r="Q180" s="99">
        <v>10</v>
      </c>
      <c r="S180" s="127" t="s">
        <v>148</v>
      </c>
      <c r="T180" s="127"/>
      <c r="U180" s="124">
        <v>800000</v>
      </c>
      <c r="V180" s="124">
        <v>400000</v>
      </c>
      <c r="W180" s="77">
        <v>306922</v>
      </c>
    </row>
    <row r="181" spans="1:19" s="77" customFormat="1" ht="17.25" thickBot="1">
      <c r="A181" s="46" t="s">
        <v>116</v>
      </c>
      <c r="B181" s="26"/>
      <c r="C181" s="27"/>
      <c r="D181" s="49">
        <f t="shared" si="20"/>
        <v>1310163</v>
      </c>
      <c r="E181" s="49">
        <f>1310163</f>
        <v>1310163</v>
      </c>
      <c r="F181" s="28">
        <v>802703</v>
      </c>
      <c r="G181" s="28">
        <f>398755+4136</f>
        <v>402891</v>
      </c>
      <c r="H181" s="28"/>
      <c r="I181" s="22">
        <f>J181+M181</f>
        <v>1410955</v>
      </c>
      <c r="J181" s="28">
        <f>685699</f>
        <v>685699</v>
      </c>
      <c r="K181" s="28">
        <f>531701+116974</f>
        <v>648675</v>
      </c>
      <c r="L181" s="28">
        <v>7580</v>
      </c>
      <c r="M181" s="28">
        <v>725256</v>
      </c>
      <c r="N181" s="28">
        <f>482930</f>
        <v>482930</v>
      </c>
      <c r="O181" s="29"/>
      <c r="P181" s="133">
        <f t="shared" si="21"/>
        <v>2721118</v>
      </c>
      <c r="Q181" s="99" t="s">
        <v>130</v>
      </c>
      <c r="S181" s="127" t="s">
        <v>150</v>
      </c>
    </row>
    <row r="182" spans="1:19" s="77" customFormat="1" ht="17.25" thickBot="1">
      <c r="A182" s="46" t="s">
        <v>117</v>
      </c>
      <c r="B182" s="26"/>
      <c r="C182" s="27"/>
      <c r="D182" s="49">
        <f t="shared" si="20"/>
        <v>2740907</v>
      </c>
      <c r="E182" s="49">
        <f>2616226-13000+130438+7243</f>
        <v>2740907</v>
      </c>
      <c r="F182" s="28">
        <f>1428746</f>
        <v>1428746</v>
      </c>
      <c r="G182" s="28">
        <f>674119+9717</f>
        <v>683836</v>
      </c>
      <c r="H182" s="28"/>
      <c r="I182" s="22">
        <f t="shared" si="23"/>
        <v>3608</v>
      </c>
      <c r="J182" s="28">
        <v>1134</v>
      </c>
      <c r="K182" s="28"/>
      <c r="L182" s="28"/>
      <c r="M182" s="28">
        <f t="shared" si="22"/>
        <v>2474</v>
      </c>
      <c r="N182" s="28">
        <v>2474</v>
      </c>
      <c r="O182" s="29"/>
      <c r="P182" s="133">
        <f t="shared" si="21"/>
        <v>2744515</v>
      </c>
      <c r="Q182" s="99" t="s">
        <v>131</v>
      </c>
      <c r="S182" s="127"/>
    </row>
    <row r="183" spans="1:19" s="77" customFormat="1" ht="17.25" thickBot="1">
      <c r="A183" s="46" t="s">
        <v>118</v>
      </c>
      <c r="B183" s="26"/>
      <c r="C183" s="27"/>
      <c r="D183" s="49">
        <f t="shared" si="20"/>
        <v>1691242</v>
      </c>
      <c r="E183" s="49">
        <f>1650327+37674+3241</f>
        <v>1691242</v>
      </c>
      <c r="F183" s="28">
        <f>951068</f>
        <v>951068</v>
      </c>
      <c r="G183" s="28">
        <f>377878+13724</f>
        <v>391602</v>
      </c>
      <c r="H183" s="28"/>
      <c r="I183" s="22">
        <f t="shared" si="23"/>
        <v>3008</v>
      </c>
      <c r="J183" s="28">
        <v>534</v>
      </c>
      <c r="K183" s="28"/>
      <c r="L183" s="28"/>
      <c r="M183" s="28">
        <f t="shared" si="22"/>
        <v>2474</v>
      </c>
      <c r="N183" s="28">
        <v>2474</v>
      </c>
      <c r="O183" s="29"/>
      <c r="P183" s="133">
        <f t="shared" si="21"/>
        <v>1694250</v>
      </c>
      <c r="Q183" s="99" t="s">
        <v>132</v>
      </c>
      <c r="S183" s="127"/>
    </row>
    <row r="184" spans="1:19" s="77" customFormat="1" ht="17.25" thickBot="1">
      <c r="A184" s="46" t="s">
        <v>119</v>
      </c>
      <c r="B184" s="26"/>
      <c r="C184" s="27"/>
      <c r="D184" s="49">
        <f t="shared" si="20"/>
        <v>2014528</v>
      </c>
      <c r="E184" s="49">
        <f>2011466+3062</f>
        <v>2014528</v>
      </c>
      <c r="F184" s="28">
        <f>1027730</f>
        <v>1027730</v>
      </c>
      <c r="G184" s="28">
        <f>416886+2418</f>
        <v>419304</v>
      </c>
      <c r="H184" s="28"/>
      <c r="I184" s="22">
        <f t="shared" si="23"/>
        <v>6254</v>
      </c>
      <c r="J184" s="28">
        <v>3780</v>
      </c>
      <c r="K184" s="28"/>
      <c r="L184" s="28"/>
      <c r="M184" s="28">
        <f t="shared" si="22"/>
        <v>2474</v>
      </c>
      <c r="N184" s="28">
        <v>2474</v>
      </c>
      <c r="O184" s="29"/>
      <c r="P184" s="133">
        <f t="shared" si="21"/>
        <v>2020782</v>
      </c>
      <c r="Q184" s="99" t="s">
        <v>133</v>
      </c>
      <c r="S184" s="127"/>
    </row>
    <row r="185" spans="1:17" ht="2.25" customHeight="1" hidden="1">
      <c r="A185" s="25"/>
      <c r="B185" s="26"/>
      <c r="C185" s="27"/>
      <c r="D185" s="49"/>
      <c r="E185" s="49"/>
      <c r="F185" s="28"/>
      <c r="G185" s="1"/>
      <c r="H185" s="28"/>
      <c r="I185" s="28"/>
      <c r="J185" s="28"/>
      <c r="K185" s="28"/>
      <c r="L185" s="28"/>
      <c r="M185" s="28"/>
      <c r="N185" s="28"/>
      <c r="O185" s="153"/>
      <c r="P185" s="155"/>
      <c r="Q185" s="5"/>
    </row>
    <row r="186" spans="1:17" ht="25.5" customHeight="1" hidden="1">
      <c r="A186" s="25"/>
      <c r="B186" s="26"/>
      <c r="C186" s="64" t="s">
        <v>121</v>
      </c>
      <c r="D186" s="49">
        <f>E186</f>
        <v>0</v>
      </c>
      <c r="E186" s="49">
        <f aca="true" t="shared" si="24" ref="E186:O186">E187+E188+E189+E190+E191+E192+E193+E194+E195+E196+E197+E198+E199+E200</f>
        <v>0</v>
      </c>
      <c r="F186" s="22">
        <f t="shared" si="24"/>
        <v>0</v>
      </c>
      <c r="G186" s="22">
        <f t="shared" si="24"/>
        <v>0</v>
      </c>
      <c r="H186" s="28">
        <f t="shared" si="24"/>
        <v>0</v>
      </c>
      <c r="I186" s="22">
        <f t="shared" si="24"/>
        <v>0</v>
      </c>
      <c r="J186" s="28">
        <f t="shared" si="24"/>
        <v>0</v>
      </c>
      <c r="K186" s="28">
        <f t="shared" si="24"/>
        <v>0</v>
      </c>
      <c r="L186" s="28">
        <f t="shared" si="24"/>
        <v>0</v>
      </c>
      <c r="M186" s="28">
        <f t="shared" si="24"/>
        <v>0</v>
      </c>
      <c r="N186" s="28">
        <f>N187+N188+N189+N190+N191+N192+N193+N194+N195+N196+N197+N198+N199+N200</f>
        <v>0</v>
      </c>
      <c r="O186" s="29">
        <f t="shared" si="24"/>
        <v>0</v>
      </c>
      <c r="P186" s="138">
        <f>D186+I186+O186</f>
        <v>0</v>
      </c>
      <c r="Q186" s="5"/>
    </row>
    <row r="187" spans="1:17" ht="16.5" hidden="1">
      <c r="A187" s="46" t="s">
        <v>106</v>
      </c>
      <c r="B187" s="26"/>
      <c r="C187" s="27"/>
      <c r="D187" s="49"/>
      <c r="E187" s="49"/>
      <c r="F187" s="28"/>
      <c r="G187" s="47"/>
      <c r="H187" s="28"/>
      <c r="I187" s="22">
        <f>J187+M187</f>
        <v>0</v>
      </c>
      <c r="J187" s="28"/>
      <c r="K187" s="28"/>
      <c r="L187" s="28"/>
      <c r="M187" s="28">
        <f>N187</f>
        <v>0</v>
      </c>
      <c r="N187" s="28"/>
      <c r="O187" s="29"/>
      <c r="P187" s="138">
        <f>D187+I187</f>
        <v>0</v>
      </c>
      <c r="Q187" s="5"/>
    </row>
    <row r="188" spans="1:17" ht="16.5" hidden="1">
      <c r="A188" s="46" t="s">
        <v>107</v>
      </c>
      <c r="B188" s="26"/>
      <c r="C188" s="27"/>
      <c r="D188" s="28"/>
      <c r="E188" s="49"/>
      <c r="F188" s="28"/>
      <c r="G188" s="47"/>
      <c r="H188" s="28"/>
      <c r="I188" s="22">
        <f>J188+M188</f>
        <v>0</v>
      </c>
      <c r="J188" s="28"/>
      <c r="K188" s="28"/>
      <c r="L188" s="28"/>
      <c r="M188" s="28">
        <f>N188</f>
        <v>0</v>
      </c>
      <c r="N188" s="28"/>
      <c r="O188" s="29"/>
      <c r="P188" s="138">
        <f>D188+I188</f>
        <v>0</v>
      </c>
      <c r="Q188" s="5"/>
    </row>
    <row r="189" spans="1:17" ht="16.5" hidden="1">
      <c r="A189" s="46" t="s">
        <v>108</v>
      </c>
      <c r="B189" s="26"/>
      <c r="C189" s="27"/>
      <c r="D189" s="28"/>
      <c r="E189" s="49"/>
      <c r="F189" s="28"/>
      <c r="G189" s="47"/>
      <c r="H189" s="28"/>
      <c r="I189" s="22">
        <f>J189+M189</f>
        <v>0</v>
      </c>
      <c r="J189" s="28"/>
      <c r="K189" s="28"/>
      <c r="L189" s="28"/>
      <c r="M189" s="28">
        <v>0</v>
      </c>
      <c r="N189" s="28">
        <v>0</v>
      </c>
      <c r="O189" s="29"/>
      <c r="P189" s="138">
        <f>D189+I189+O189</f>
        <v>0</v>
      </c>
      <c r="Q189" s="5"/>
    </row>
    <row r="190" spans="1:17" ht="16.5" hidden="1">
      <c r="A190" s="46" t="s">
        <v>109</v>
      </c>
      <c r="B190" s="26"/>
      <c r="C190" s="27"/>
      <c r="D190" s="28"/>
      <c r="E190" s="49"/>
      <c r="F190" s="28"/>
      <c r="G190" s="47"/>
      <c r="H190" s="28"/>
      <c r="I190" s="22">
        <f aca="true" t="shared" si="25" ref="I190:I200">J190+M190</f>
        <v>0</v>
      </c>
      <c r="J190" s="28"/>
      <c r="K190" s="28"/>
      <c r="L190" s="28"/>
      <c r="M190" s="28">
        <f aca="true" t="shared" si="26" ref="M190:M200">N190</f>
        <v>0</v>
      </c>
      <c r="N190" s="28"/>
      <c r="O190" s="29"/>
      <c r="P190" s="156">
        <f>D190+I190</f>
        <v>0</v>
      </c>
      <c r="Q190" s="5"/>
    </row>
    <row r="191" spans="1:17" ht="14.25" customHeight="1" hidden="1">
      <c r="A191" s="46" t="s">
        <v>110</v>
      </c>
      <c r="B191" s="26"/>
      <c r="C191" s="27"/>
      <c r="D191" s="28"/>
      <c r="E191" s="28"/>
      <c r="F191" s="28"/>
      <c r="G191" s="28"/>
      <c r="H191" s="28"/>
      <c r="I191" s="22">
        <f t="shared" si="25"/>
        <v>0</v>
      </c>
      <c r="J191" s="28"/>
      <c r="K191" s="28"/>
      <c r="L191" s="28"/>
      <c r="M191" s="28">
        <f t="shared" si="26"/>
        <v>0</v>
      </c>
      <c r="N191" s="28"/>
      <c r="O191" s="29"/>
      <c r="P191" s="156">
        <f aca="true" t="shared" si="27" ref="P191:P200">D191+I191</f>
        <v>0</v>
      </c>
      <c r="Q191" s="5"/>
    </row>
    <row r="192" spans="1:17" ht="16.5" hidden="1">
      <c r="A192" s="46" t="s">
        <v>111</v>
      </c>
      <c r="B192" s="26"/>
      <c r="C192" s="27"/>
      <c r="D192" s="28">
        <v>0</v>
      </c>
      <c r="E192" s="28">
        <v>0</v>
      </c>
      <c r="F192" s="28"/>
      <c r="G192" s="28"/>
      <c r="H192" s="28"/>
      <c r="I192" s="22">
        <f t="shared" si="25"/>
        <v>0</v>
      </c>
      <c r="J192" s="28"/>
      <c r="K192" s="28"/>
      <c r="L192" s="28"/>
      <c r="M192" s="28">
        <v>0</v>
      </c>
      <c r="N192" s="28">
        <v>0</v>
      </c>
      <c r="O192" s="29"/>
      <c r="P192" s="156">
        <f t="shared" si="27"/>
        <v>0</v>
      </c>
      <c r="Q192" s="5"/>
    </row>
    <row r="193" spans="1:17" ht="16.5" hidden="1">
      <c r="A193" s="46" t="s">
        <v>112</v>
      </c>
      <c r="B193" s="26"/>
      <c r="C193" s="27"/>
      <c r="D193" s="28"/>
      <c r="E193" s="28"/>
      <c r="F193" s="28"/>
      <c r="G193" s="28"/>
      <c r="H193" s="28"/>
      <c r="I193" s="22">
        <f t="shared" si="25"/>
        <v>0</v>
      </c>
      <c r="J193" s="28"/>
      <c r="K193" s="28"/>
      <c r="L193" s="28"/>
      <c r="M193" s="28">
        <f t="shared" si="26"/>
        <v>0</v>
      </c>
      <c r="N193" s="28"/>
      <c r="O193" s="29"/>
      <c r="P193" s="156">
        <f t="shared" si="27"/>
        <v>0</v>
      </c>
      <c r="Q193" s="5"/>
    </row>
    <row r="194" spans="1:17" ht="16.5" hidden="1">
      <c r="A194" s="46" t="s">
        <v>113</v>
      </c>
      <c r="B194" s="26"/>
      <c r="C194" s="27"/>
      <c r="D194" s="28"/>
      <c r="E194" s="28"/>
      <c r="F194" s="28"/>
      <c r="G194" s="47"/>
      <c r="H194" s="28"/>
      <c r="I194" s="22">
        <f t="shared" si="25"/>
        <v>0</v>
      </c>
      <c r="J194" s="28"/>
      <c r="K194" s="28"/>
      <c r="L194" s="28"/>
      <c r="M194" s="28">
        <f t="shared" si="26"/>
        <v>0</v>
      </c>
      <c r="N194" s="28"/>
      <c r="O194" s="29"/>
      <c r="P194" s="156">
        <f t="shared" si="27"/>
        <v>0</v>
      </c>
      <c r="Q194" s="5"/>
    </row>
    <row r="195" spans="1:17" ht="16.5" hidden="1">
      <c r="A195" s="46" t="s">
        <v>114</v>
      </c>
      <c r="B195" s="26"/>
      <c r="C195" s="27"/>
      <c r="D195" s="28"/>
      <c r="E195" s="28"/>
      <c r="F195" s="28"/>
      <c r="G195" s="28"/>
      <c r="H195" s="28"/>
      <c r="I195" s="22">
        <f t="shared" si="25"/>
        <v>0</v>
      </c>
      <c r="J195" s="28"/>
      <c r="K195" s="28"/>
      <c r="L195" s="28"/>
      <c r="M195" s="28">
        <f t="shared" si="26"/>
        <v>0</v>
      </c>
      <c r="N195" s="28"/>
      <c r="O195" s="29"/>
      <c r="P195" s="156">
        <f t="shared" si="27"/>
        <v>0</v>
      </c>
      <c r="Q195" s="5"/>
    </row>
    <row r="196" spans="1:17" ht="16.5" hidden="1">
      <c r="A196" s="46" t="s">
        <v>115</v>
      </c>
      <c r="B196" s="26"/>
      <c r="C196" s="27"/>
      <c r="D196" s="28"/>
      <c r="E196" s="28"/>
      <c r="F196" s="28"/>
      <c r="G196" s="47"/>
      <c r="H196" s="28"/>
      <c r="I196" s="22">
        <f t="shared" si="25"/>
        <v>0</v>
      </c>
      <c r="J196" s="28"/>
      <c r="K196" s="28"/>
      <c r="L196" s="28"/>
      <c r="M196" s="28">
        <f t="shared" si="26"/>
        <v>0</v>
      </c>
      <c r="N196" s="28"/>
      <c r="O196" s="29"/>
      <c r="P196" s="156">
        <f t="shared" si="27"/>
        <v>0</v>
      </c>
      <c r="Q196" s="5"/>
    </row>
    <row r="197" spans="1:17" ht="16.5" hidden="1">
      <c r="A197" s="46" t="s">
        <v>116</v>
      </c>
      <c r="B197" s="26"/>
      <c r="C197" s="27"/>
      <c r="D197" s="28"/>
      <c r="E197" s="28"/>
      <c r="F197" s="28"/>
      <c r="G197" s="47"/>
      <c r="H197" s="28"/>
      <c r="I197" s="22">
        <f t="shared" si="25"/>
        <v>0</v>
      </c>
      <c r="J197" s="28"/>
      <c r="K197" s="28"/>
      <c r="L197" s="28"/>
      <c r="M197" s="28">
        <f t="shared" si="26"/>
        <v>0</v>
      </c>
      <c r="N197" s="28"/>
      <c r="O197" s="29"/>
      <c r="P197" s="156">
        <f t="shared" si="27"/>
        <v>0</v>
      </c>
      <c r="Q197" s="5"/>
    </row>
    <row r="198" spans="1:17" ht="16.5" hidden="1">
      <c r="A198" s="46" t="s">
        <v>117</v>
      </c>
      <c r="B198" s="26"/>
      <c r="C198" s="27"/>
      <c r="D198" s="28"/>
      <c r="E198" s="28"/>
      <c r="F198" s="28"/>
      <c r="G198" s="47"/>
      <c r="H198" s="28"/>
      <c r="I198" s="22">
        <f t="shared" si="25"/>
        <v>0</v>
      </c>
      <c r="J198" s="28"/>
      <c r="K198" s="28"/>
      <c r="L198" s="28"/>
      <c r="M198" s="28">
        <f t="shared" si="26"/>
        <v>0</v>
      </c>
      <c r="N198" s="28"/>
      <c r="O198" s="29"/>
      <c r="P198" s="156">
        <f t="shared" si="27"/>
        <v>0</v>
      </c>
      <c r="Q198" s="5"/>
    </row>
    <row r="199" spans="1:17" ht="16.5" hidden="1">
      <c r="A199" s="46" t="s">
        <v>118</v>
      </c>
      <c r="B199" s="26"/>
      <c r="C199" s="27"/>
      <c r="D199" s="28"/>
      <c r="E199" s="28"/>
      <c r="F199" s="28"/>
      <c r="G199" s="28"/>
      <c r="H199" s="28"/>
      <c r="I199" s="22">
        <f t="shared" si="25"/>
        <v>0</v>
      </c>
      <c r="J199" s="28"/>
      <c r="K199" s="28"/>
      <c r="L199" s="28"/>
      <c r="M199" s="28">
        <f t="shared" si="26"/>
        <v>0</v>
      </c>
      <c r="N199" s="28"/>
      <c r="O199" s="29"/>
      <c r="P199" s="156">
        <f t="shared" si="27"/>
        <v>0</v>
      </c>
      <c r="Q199" s="5"/>
    </row>
    <row r="200" spans="1:17" ht="15.75" customHeight="1" hidden="1">
      <c r="A200" s="46" t="s">
        <v>119</v>
      </c>
      <c r="B200" s="26"/>
      <c r="C200" s="27"/>
      <c r="D200" s="28"/>
      <c r="E200" s="28"/>
      <c r="F200" s="28"/>
      <c r="G200" s="47"/>
      <c r="H200" s="28"/>
      <c r="I200" s="22">
        <f t="shared" si="25"/>
        <v>0</v>
      </c>
      <c r="J200" s="28"/>
      <c r="K200" s="28"/>
      <c r="L200" s="28"/>
      <c r="M200" s="28">
        <f t="shared" si="26"/>
        <v>0</v>
      </c>
      <c r="N200" s="28"/>
      <c r="O200" s="29"/>
      <c r="P200" s="156">
        <f t="shared" si="27"/>
        <v>0</v>
      </c>
      <c r="Q200" s="5"/>
    </row>
    <row r="201" spans="1:17" ht="9.75" customHeight="1" hidden="1">
      <c r="A201" s="65"/>
      <c r="B201" s="52"/>
      <c r="C201" s="53"/>
      <c r="D201" s="55"/>
      <c r="E201" s="55"/>
      <c r="F201" s="55"/>
      <c r="G201" s="1"/>
      <c r="H201" s="55"/>
      <c r="I201" s="55"/>
      <c r="J201" s="55"/>
      <c r="K201" s="55"/>
      <c r="L201" s="55"/>
      <c r="M201" s="55"/>
      <c r="N201" s="55"/>
      <c r="O201" s="56"/>
      <c r="P201" s="157"/>
      <c r="Q201" s="5"/>
    </row>
    <row r="202" spans="1:17" ht="17.25" customHeight="1" thickBot="1">
      <c r="A202" s="66"/>
      <c r="B202" s="67"/>
      <c r="C202" s="68" t="s">
        <v>127</v>
      </c>
      <c r="D202" s="39"/>
      <c r="E202" s="39"/>
      <c r="F202" s="39"/>
      <c r="G202" s="39"/>
      <c r="H202" s="39"/>
      <c r="I202" s="39"/>
      <c r="J202" s="39"/>
      <c r="K202" s="39"/>
      <c r="L202" s="39"/>
      <c r="M202" s="38"/>
      <c r="N202" s="38"/>
      <c r="O202" s="154"/>
      <c r="P202" s="158"/>
      <c r="Q202" s="18"/>
    </row>
    <row r="203" spans="1:17" ht="16.5" hidden="1">
      <c r="A203" s="69"/>
      <c r="B203" s="70"/>
      <c r="C203" s="71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18"/>
    </row>
    <row r="204" spans="1:17" ht="16.5">
      <c r="A204" s="69"/>
      <c r="B204" s="70"/>
      <c r="C204" s="71"/>
      <c r="D204" s="166"/>
      <c r="E204" s="167"/>
      <c r="F204" s="168"/>
      <c r="G204" s="169"/>
      <c r="H204" s="166"/>
      <c r="I204" s="166"/>
      <c r="J204" s="166"/>
      <c r="K204" s="166"/>
      <c r="L204" s="109"/>
      <c r="M204" s="109"/>
      <c r="N204" s="181"/>
      <c r="O204" s="72"/>
      <c r="P204" s="72"/>
      <c r="Q204" s="18"/>
    </row>
    <row r="205" spans="1:20" ht="17.25" customHeight="1">
      <c r="A205" s="73" t="s">
        <v>128</v>
      </c>
      <c r="B205" s="1"/>
      <c r="C205" s="170"/>
      <c r="D205" s="171"/>
      <c r="E205" s="172"/>
      <c r="F205" s="172"/>
      <c r="G205" s="173"/>
      <c r="H205" s="174"/>
      <c r="I205" s="174"/>
      <c r="J205" s="174"/>
      <c r="K205" s="174"/>
      <c r="L205" s="175"/>
      <c r="M205" s="176"/>
      <c r="N205" s="73" t="s">
        <v>129</v>
      </c>
      <c r="O205" s="73"/>
      <c r="P205" s="73"/>
      <c r="Q205" s="5"/>
      <c r="S205" s="97"/>
      <c r="T205" s="6">
        <f>2103860+3</f>
        <v>2103863</v>
      </c>
    </row>
    <row r="206" spans="1:17" ht="16.5">
      <c r="A206" s="73"/>
      <c r="B206" s="1"/>
      <c r="C206" s="170"/>
      <c r="D206" s="174"/>
      <c r="E206" s="172"/>
      <c r="F206" s="172"/>
      <c r="G206" s="173"/>
      <c r="H206" s="174"/>
      <c r="I206" s="174"/>
      <c r="J206" s="174"/>
      <c r="K206" s="174"/>
      <c r="L206" s="175"/>
      <c r="M206" s="177"/>
      <c r="N206" s="74"/>
      <c r="O206" s="73"/>
      <c r="P206" s="73"/>
      <c r="Q206" s="5"/>
    </row>
    <row r="207" spans="1:17" ht="16.5">
      <c r="A207" s="73"/>
      <c r="B207" s="1"/>
      <c r="C207" s="170"/>
      <c r="D207" s="171"/>
      <c r="E207" s="174"/>
      <c r="F207" s="172"/>
      <c r="G207" s="178"/>
      <c r="H207" s="174"/>
      <c r="I207" s="174"/>
      <c r="J207" s="174"/>
      <c r="K207" s="174"/>
      <c r="L207" s="175"/>
      <c r="M207" s="177"/>
      <c r="N207" s="74"/>
      <c r="O207" s="73"/>
      <c r="P207" s="73"/>
      <c r="Q207" s="5"/>
    </row>
    <row r="208" spans="1:17" ht="16.5">
      <c r="A208" s="73"/>
      <c r="B208" s="1"/>
      <c r="C208" s="170"/>
      <c r="D208" s="174"/>
      <c r="E208" s="174"/>
      <c r="F208" s="172"/>
      <c r="G208" s="173"/>
      <c r="H208" s="174"/>
      <c r="I208" s="174"/>
      <c r="J208" s="174"/>
      <c r="K208" s="174"/>
      <c r="L208" s="175"/>
      <c r="M208" s="177"/>
      <c r="N208" s="74"/>
      <c r="O208" s="73"/>
      <c r="P208" s="73"/>
      <c r="Q208" s="5"/>
    </row>
    <row r="209" spans="1:17" ht="16.5">
      <c r="A209" s="73"/>
      <c r="B209" s="1"/>
      <c r="C209" s="179"/>
      <c r="D209" s="171"/>
      <c r="E209" s="174"/>
      <c r="F209" s="172"/>
      <c r="G209" s="173"/>
      <c r="H209" s="174"/>
      <c r="I209" s="174"/>
      <c r="J209" s="174"/>
      <c r="K209" s="174"/>
      <c r="L209" s="175"/>
      <c r="M209" s="177"/>
      <c r="N209" s="74"/>
      <c r="O209" s="73"/>
      <c r="P209" s="73"/>
      <c r="Q209" s="5"/>
    </row>
    <row r="210" spans="1:17" ht="16.5">
      <c r="A210" s="73"/>
      <c r="B210" s="1"/>
      <c r="C210" s="170"/>
      <c r="D210" s="174"/>
      <c r="E210" s="174"/>
      <c r="F210" s="172"/>
      <c r="G210" s="173"/>
      <c r="H210" s="174"/>
      <c r="I210" s="174"/>
      <c r="J210" s="174"/>
      <c r="K210" s="174"/>
      <c r="L210" s="175"/>
      <c r="M210" s="177"/>
      <c r="N210" s="74"/>
      <c r="O210" s="73"/>
      <c r="P210" s="73"/>
      <c r="Q210" s="5"/>
    </row>
    <row r="211" spans="1:17" ht="16.5">
      <c r="A211" s="73"/>
      <c r="B211" s="1"/>
      <c r="C211" s="170"/>
      <c r="D211" s="174"/>
      <c r="E211" s="174"/>
      <c r="F211" s="172"/>
      <c r="G211" s="173"/>
      <c r="H211" s="174"/>
      <c r="I211" s="174"/>
      <c r="J211" s="174"/>
      <c r="K211" s="174"/>
      <c r="L211" s="175"/>
      <c r="M211" s="177"/>
      <c r="N211" s="74"/>
      <c r="O211" s="73"/>
      <c r="P211" s="73"/>
      <c r="Q211" s="5"/>
    </row>
    <row r="212" spans="1:17" ht="16.5">
      <c r="A212" s="73"/>
      <c r="B212" s="1"/>
      <c r="C212" s="170"/>
      <c r="D212" s="174"/>
      <c r="E212" s="174"/>
      <c r="F212" s="172"/>
      <c r="G212" s="173"/>
      <c r="H212" s="174"/>
      <c r="I212" s="174"/>
      <c r="J212" s="174"/>
      <c r="K212" s="174"/>
      <c r="L212" s="175"/>
      <c r="M212" s="177"/>
      <c r="N212" s="74"/>
      <c r="O212" s="73"/>
      <c r="P212" s="73"/>
      <c r="Q212" s="5"/>
    </row>
    <row r="213" spans="1:17" ht="16.5">
      <c r="A213" s="73"/>
      <c r="B213" s="1"/>
      <c r="C213" s="170"/>
      <c r="D213" s="174"/>
      <c r="E213" s="174"/>
      <c r="F213" s="174"/>
      <c r="G213" s="173"/>
      <c r="H213" s="174"/>
      <c r="I213" s="174"/>
      <c r="J213" s="174"/>
      <c r="K213" s="174"/>
      <c r="L213" s="175"/>
      <c r="M213" s="177"/>
      <c r="N213" s="74"/>
      <c r="O213" s="73"/>
      <c r="P213" s="73"/>
      <c r="Q213" s="5"/>
    </row>
    <row r="214" spans="1:17" ht="16.5">
      <c r="A214" s="73"/>
      <c r="B214" s="1"/>
      <c r="C214" s="170"/>
      <c r="D214" s="174"/>
      <c r="E214" s="174"/>
      <c r="F214" s="172"/>
      <c r="G214" s="173"/>
      <c r="H214" s="180"/>
      <c r="I214" s="174"/>
      <c r="J214" s="174"/>
      <c r="K214" s="174"/>
      <c r="L214" s="175"/>
      <c r="M214" s="177"/>
      <c r="N214" s="74"/>
      <c r="O214" s="73"/>
      <c r="P214" s="73"/>
      <c r="Q214" s="5"/>
    </row>
    <row r="215" spans="1:17" ht="16.5">
      <c r="A215" s="73"/>
      <c r="B215" s="1"/>
      <c r="C215" s="170"/>
      <c r="D215" s="174"/>
      <c r="E215" s="174"/>
      <c r="F215" s="174"/>
      <c r="G215" s="173"/>
      <c r="H215" s="174"/>
      <c r="I215" s="174"/>
      <c r="J215" s="174"/>
      <c r="K215" s="174"/>
      <c r="L215" s="175"/>
      <c r="M215" s="177"/>
      <c r="N215" s="74"/>
      <c r="O215" s="73"/>
      <c r="P215" s="73"/>
      <c r="Q215" s="5"/>
    </row>
    <row r="216" spans="1:17" ht="16.5">
      <c r="A216" s="73"/>
      <c r="B216" s="1"/>
      <c r="C216" s="170"/>
      <c r="D216" s="174"/>
      <c r="E216" s="174"/>
      <c r="F216" s="174"/>
      <c r="G216" s="173"/>
      <c r="H216" s="174"/>
      <c r="I216" s="174"/>
      <c r="J216" s="174"/>
      <c r="K216" s="174"/>
      <c r="L216" s="175"/>
      <c r="M216" s="177"/>
      <c r="N216" s="74"/>
      <c r="O216" s="73"/>
      <c r="P216" s="73"/>
      <c r="Q216" s="5"/>
    </row>
    <row r="217" spans="1:17" ht="16.5">
      <c r="A217" s="73"/>
      <c r="B217" s="1"/>
      <c r="C217" s="170"/>
      <c r="D217" s="174"/>
      <c r="E217" s="174"/>
      <c r="F217" s="174"/>
      <c r="G217" s="173"/>
      <c r="H217" s="174"/>
      <c r="I217" s="174"/>
      <c r="J217" s="174"/>
      <c r="K217" s="174"/>
      <c r="L217" s="175"/>
      <c r="M217" s="177"/>
      <c r="N217" s="74"/>
      <c r="O217" s="73"/>
      <c r="P217" s="73"/>
      <c r="Q217" s="5"/>
    </row>
    <row r="218" spans="1:17" ht="16.5">
      <c r="A218" s="73"/>
      <c r="B218" s="1"/>
      <c r="C218" s="170"/>
      <c r="D218" s="174"/>
      <c r="E218" s="174"/>
      <c r="F218" s="174"/>
      <c r="G218" s="173"/>
      <c r="H218" s="174"/>
      <c r="I218" s="174"/>
      <c r="J218" s="174"/>
      <c r="K218" s="174"/>
      <c r="L218" s="175"/>
      <c r="M218" s="177"/>
      <c r="N218" s="74"/>
      <c r="O218" s="73"/>
      <c r="P218" s="73"/>
      <c r="Q218" s="5"/>
    </row>
    <row r="219" spans="1:17" ht="16.5">
      <c r="A219" s="73"/>
      <c r="B219" s="1"/>
      <c r="C219" s="170"/>
      <c r="D219" s="174"/>
      <c r="E219" s="174"/>
      <c r="F219" s="174"/>
      <c r="G219" s="173"/>
      <c r="H219" s="174"/>
      <c r="I219" s="174"/>
      <c r="J219" s="174"/>
      <c r="K219" s="174"/>
      <c r="L219" s="175"/>
      <c r="M219" s="177"/>
      <c r="N219" s="74"/>
      <c r="O219" s="73"/>
      <c r="P219" s="73"/>
      <c r="Q219" s="5"/>
    </row>
  </sheetData>
  <sheetProtection/>
  <mergeCells count="23">
    <mergeCell ref="L2:N4"/>
    <mergeCell ref="L5:N5"/>
    <mergeCell ref="A6:P6"/>
    <mergeCell ref="A8:A11"/>
    <mergeCell ref="B8:B15"/>
    <mergeCell ref="C8:C15"/>
    <mergeCell ref="D8:H12"/>
    <mergeCell ref="I8:O12"/>
    <mergeCell ref="P8:P15"/>
    <mergeCell ref="A12:A15"/>
    <mergeCell ref="D13:D15"/>
    <mergeCell ref="E13:E15"/>
    <mergeCell ref="F13:G13"/>
    <mergeCell ref="H13:H15"/>
    <mergeCell ref="F14:F15"/>
    <mergeCell ref="G14:G15"/>
    <mergeCell ref="N14:N15"/>
    <mergeCell ref="I13:I15"/>
    <mergeCell ref="J13:J15"/>
    <mergeCell ref="K13:L13"/>
    <mergeCell ref="M13:M15"/>
    <mergeCell ref="K14:K15"/>
    <mergeCell ref="L14:L15"/>
  </mergeCells>
  <printOptions/>
  <pageMargins left="0.33" right="0.19" top="0.48" bottom="0.16" header="0.11" footer="0.16"/>
  <pageSetup fitToHeight="4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2019-05-17T07:46:47Z</cp:lastPrinted>
  <dcterms:created xsi:type="dcterms:W3CDTF">1996-10-08T23:32:33Z</dcterms:created>
  <dcterms:modified xsi:type="dcterms:W3CDTF">2019-05-17T07:47:44Z</dcterms:modified>
  <cp:category/>
  <cp:version/>
  <cp:contentType/>
  <cp:contentStatus/>
</cp:coreProperties>
</file>