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6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додаток 5" sheetId="5" r:id="rId5"/>
    <sheet name="додаток 6" sheetId="6" r:id="rId6"/>
    <sheet name="додаток 7" sheetId="7" r:id="rId7"/>
  </sheets>
  <definedNames>
    <definedName name="_xlnm.Print_Titles" localSheetId="4">'додаток 5'!$A:$B</definedName>
    <definedName name="_xlnm.Print_Titles" localSheetId="5">'додаток 6'!$14:$19</definedName>
    <definedName name="_xlnm.Print_Titles" localSheetId="6">'додаток 7'!$12:$20</definedName>
    <definedName name="_xlnm.Print_Titles" localSheetId="0">'додаток1'!$16:$20</definedName>
    <definedName name="_xlnm.Print_Titles" localSheetId="2">'додаток3'!$16:$20</definedName>
    <definedName name="_xlnm.Print_Area" localSheetId="0">'додаток1'!$A$1:$F$136</definedName>
  </definedNames>
  <calcPr fullCalcOnLoad="1"/>
</workbook>
</file>

<file path=xl/sharedStrings.xml><?xml version="1.0" encoding="utf-8"?>
<sst xmlns="http://schemas.openxmlformats.org/spreadsheetml/2006/main" count="1816" uniqueCount="834">
  <si>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</si>
  <si>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</si>
  <si>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</si>
  <si>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</si>
  <si>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</si>
  <si>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</si>
  <si>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</si>
  <si>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</si>
  <si>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</si>
  <si>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</si>
  <si>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</si>
  <si>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</si>
  <si>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</si>
  <si>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</si>
  <si>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</si>
  <si>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</si>
  <si>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</si>
  <si>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</si>
  <si>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</si>
  <si>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</si>
  <si>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</si>
  <si>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</si>
  <si>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</si>
  <si>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</si>
  <si>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</si>
  <si>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</si>
  <si>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</si>
  <si>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</si>
  <si>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</si>
  <si>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</si>
  <si>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</si>
  <si>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</si>
  <si>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</si>
  <si>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</si>
  <si>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</si>
  <si>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</si>
  <si>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</si>
  <si>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</si>
  <si>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</si>
  <si>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</si>
  <si>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</si>
  <si>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</si>
  <si>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</si>
  <si>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</si>
  <si>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</si>
  <si>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</si>
  <si>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</si>
  <si>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</si>
  <si>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</si>
  <si>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</si>
  <si>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</si>
  <si>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</si>
  <si>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</si>
  <si>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</si>
  <si>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</si>
  <si>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</si>
  <si>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</si>
  <si>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</si>
  <si>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</si>
  <si>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</si>
  <si>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</si>
  <si>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</si>
  <si>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</si>
  <si>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</si>
  <si>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</si>
  <si>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</si>
  <si>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</si>
  <si>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</si>
  <si>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</si>
  <si>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</si>
  <si>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</si>
  <si>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</si>
  <si>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</si>
  <si>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</si>
  <si>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</si>
  <si>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</si>
  <si>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</si>
  <si>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</si>
  <si>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</si>
  <si>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</si>
  <si>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</si>
  <si>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</si>
  <si>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</si>
  <si>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</si>
  <si>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</si>
  <si>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</si>
  <si>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</si>
  <si>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</si>
  <si>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</si>
  <si>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</si>
  <si>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</si>
  <si>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</si>
  <si>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</si>
  <si>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</si>
  <si>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</si>
  <si>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</si>
  <si>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</si>
  <si>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</si>
  <si>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</si>
  <si>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</si>
  <si>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</si>
  <si>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</si>
  <si>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</si>
  <si>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</si>
  <si>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</si>
  <si>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</si>
  <si>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</si>
  <si>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</si>
  <si>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</si>
  <si>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</si>
  <si>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</si>
  <si>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</si>
  <si>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</si>
  <si>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</si>
  <si>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</si>
  <si>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</si>
  <si>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</si>
  <si>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</si>
  <si>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</si>
  <si>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</si>
  <si>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</si>
  <si>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</si>
  <si>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</si>
  <si>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</si>
  <si>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</si>
  <si>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</si>
  <si>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</si>
  <si>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</si>
  <si>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</si>
  <si>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</si>
  <si>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</si>
  <si>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</si>
  <si>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</si>
  <si>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</si>
  <si>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</si>
  <si>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</si>
  <si>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</si>
  <si>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</si>
  <si>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</si>
  <si>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</si>
  <si>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</si>
  <si>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</si>
  <si>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</si>
  <si>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</si>
  <si>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</si>
  <si>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</si>
  <si>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</si>
  <si>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</si>
  <si>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</si>
  <si>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</si>
  <si>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</si>
  <si>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</si>
  <si>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</si>
  <si>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</si>
  <si>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</si>
  <si>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</si>
  <si>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</si>
  <si>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</si>
  <si>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</si>
  <si>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</si>
  <si>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</si>
  <si>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</si>
  <si>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</si>
  <si>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</si>
  <si>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</si>
  <si>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</si>
  <si>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</si>
  <si>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</si>
  <si>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</si>
  <si>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</si>
  <si>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</si>
  <si>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</si>
  <si>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</si>
  <si>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</si>
  <si>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</si>
  <si>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</si>
  <si>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</si>
  <si>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</si>
  <si>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</si>
  <si>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</si>
  <si>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</si>
  <si>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</si>
  <si>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</si>
  <si>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</si>
  <si>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</si>
  <si>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</si>
  <si>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</si>
  <si>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</si>
  <si>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</si>
  <si>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</si>
  <si>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</si>
  <si>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</si>
  <si>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</si>
  <si>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</si>
  <si>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</si>
  <si>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</si>
  <si>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</si>
  <si>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</si>
  <si>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</si>
  <si>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</si>
  <si>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</si>
  <si>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</si>
  <si>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</si>
  <si>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</si>
  <si>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</si>
  <si>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</si>
  <si>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</si>
  <si>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</si>
  <si>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</si>
  <si>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</si>
  <si>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</si>
  <si>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</si>
  <si>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</si>
  <si>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</si>
  <si>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</si>
  <si>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</si>
  <si>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</si>
  <si>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</si>
  <si>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</si>
  <si>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</si>
  <si>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</si>
  <si>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</si>
  <si>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</si>
  <si>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</si>
  <si>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</si>
  <si>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</si>
  <si>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</si>
  <si>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</si>
  <si>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</si>
  <si>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</si>
  <si>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</si>
  <si>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</si>
  <si>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</si>
  <si>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</si>
  <si>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</si>
  <si>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</si>
  <si>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</si>
  <si>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</si>
  <si>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</si>
  <si>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</si>
  <si>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</si>
  <si>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</si>
  <si>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</si>
  <si>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</si>
  <si>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</si>
  <si>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</si>
  <si>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</si>
  <si>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</si>
  <si>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</si>
  <si>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</si>
  <si>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</si>
  <si>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</si>
  <si>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</si>
  <si>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</si>
  <si>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</si>
  <si>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</si>
  <si>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</si>
  <si>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</si>
  <si>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</si>
  <si>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</si>
  <si>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</si>
  <si>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</si>
  <si>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</si>
  <si>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</si>
  <si>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</si>
  <si>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</si>
  <si>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</si>
  <si>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</si>
  <si>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</si>
  <si>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</si>
  <si>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</si>
  <si>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</si>
  <si>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</si>
  <si>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</si>
  <si>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</si>
  <si>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</si>
  <si>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</si>
  <si>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</si>
  <si>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</si>
  <si>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</si>
  <si>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</si>
  <si>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</si>
  <si>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</si>
  <si>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</si>
  <si>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</si>
  <si>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</si>
  <si>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</si>
  <si>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</si>
  <si>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</si>
  <si>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</si>
  <si>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</si>
  <si>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</si>
  <si>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</si>
  <si>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</si>
  <si>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</si>
  <si>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</si>
  <si>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</si>
  <si>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</si>
  <si>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</si>
  <si>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</si>
  <si>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</si>
  <si>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</si>
  <si>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</si>
  <si>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</si>
  <si>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</si>
  <si>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</si>
  <si>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</si>
  <si>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</si>
  <si>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</si>
  <si>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</si>
  <si>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</si>
  <si>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</si>
  <si>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</si>
  <si>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</si>
  <si>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</si>
  <si>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</si>
  <si>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на закупівлю засобів захисту учасників освітнього процесу  в закладах загальної середньої освіти під час карантину (видатки споживання)</t>
  </si>
  <si>
    <t>Капітальний ремонт системи опалення ФАПу с. Нові Лагері, вул. Миру, 34</t>
  </si>
  <si>
    <t>Капітальний ремонт будівлі НКТЕЛ (заміна дверей)</t>
  </si>
  <si>
    <t>Капітальний ремонт будівлі НКТЕЛ (заміна вікон та дверей в санвузлі)</t>
  </si>
  <si>
    <t>Технічне обстеження будівлі Будинку культури за адресою: вул. Шевченко, 9 в смт. Козацьке, Бериславський район, Херсонська область</t>
  </si>
  <si>
    <t>Розробка візуалізації території та будівлі Центру надання культурних послуг за адресою: вул. Шевченка, 9 в смт. Козацьке, Бериславський район, Херсонська область</t>
  </si>
  <si>
    <t>Інженерні  вишукування території  будівлі  Будинку культури за адресою: вул. Шевченка, 9 в смт. Козацьке, Бериславський  район, Херсонська область</t>
  </si>
  <si>
    <t>Капітальний ремонт частини приміщень будинку культури та благоустрій території з метою створення  Центру надання культурних послуг за адресою: вул. Шевченко, 9 в смт. Козацьке, Бериславський район, Херсонська область (розробка робочого проекту)</t>
  </si>
  <si>
    <t>0813222</t>
  </si>
  <si>
    <t>3222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</si>
  <si>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</si>
  <si>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</si>
  <si>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Первинна медична допомога населенню, що надається центрами первинної медичної  (медико-санітарної) допомоги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</si>
  <si>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</t>
  </si>
  <si>
    <t>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</t>
  </si>
  <si>
    <t>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</si>
  <si>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ЗАТВЕРДЖЕНО</t>
  </si>
  <si>
    <t>до рішення 3 сесії</t>
  </si>
  <si>
    <t>міської ради 8-го скликання</t>
  </si>
  <si>
    <t>від 10.12.2020 року №56</t>
  </si>
  <si>
    <t>_________ Дмитро ВАСИЛЬЄВ</t>
  </si>
  <si>
    <t>_________Дмитро ВАСИЛЬЄВ</t>
  </si>
  <si>
    <t xml:space="preserve">міської ради 8-го скликання </t>
  </si>
  <si>
    <t>_______ Дмитро ВАСИЛЬЄВ</t>
  </si>
  <si>
    <t>_______Дмитро ВАСИЛЬЄВ</t>
  </si>
  <si>
    <t>__________Дмитро ВАСИЛЬЄВ</t>
  </si>
  <si>
    <t>__________ Дмитро ВАСИЛЬЄВ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</si>
  <si>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</si>
  <si>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</si>
  <si>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</si>
  <si>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</si>
  <si>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</si>
  <si>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</si>
  <si>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</si>
  <si>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</si>
  <si>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</si>
  <si>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</si>
  <si>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</si>
  <si>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</si>
  <si>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</si>
  <si>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</si>
  <si>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</si>
  <si>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</si>
  <si>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</si>
  <si>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</si>
  <si>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</si>
  <si>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</si>
  <si>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</si>
  <si>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</si>
  <si>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</si>
  <si>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</si>
  <si>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</si>
  <si>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</si>
  <si>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</si>
  <si>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</si>
  <si>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</si>
  <si>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</si>
  <si>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</si>
  <si>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</si>
  <si>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</si>
  <si>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</si>
  <si>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</si>
  <si>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</si>
  <si>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</si>
  <si>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</si>
  <si>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</si>
  <si>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</si>
  <si>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</si>
  <si>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</si>
  <si>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</si>
  <si>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</si>
  <si>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</si>
  <si>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</si>
  <si>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</si>
  <si>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</si>
  <si>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</si>
  <si>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</si>
  <si>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</si>
  <si>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</si>
  <si>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</si>
  <si>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</si>
  <si>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</si>
  <si>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</si>
  <si>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</si>
  <si>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</si>
  <si>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</si>
  <si>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</si>
  <si>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</si>
  <si>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</si>
  <si>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</si>
  <si>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</si>
  <si>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</si>
  <si>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</si>
  <si>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</si>
  <si>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</si>
  <si>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Капітальний ремонт будівлі я/с №15 "Червоненька квіточка" (заміна вікон), м. Нова Каховка, вул. Горького, 11/1</t>
  </si>
  <si>
    <t>Реконструкція існуючої будівлі під дитячий садок по вул. Монастирська, 50 в с. Корсунка   м. Нова Каховка, Херсонської області  (проектні роботи)</t>
  </si>
  <si>
    <t>Капітальний ремонт проїзної частини по вул. Горького в м. Нова Каховка Херсонської області (в межах вул. Дружби - вул. Індустріальна) (проектні роботи)</t>
  </si>
  <si>
    <t>Капітальний ремонт проїзної частини вул. Шевченка  в межах будинків №1-№125 в смт. Козацьке Херсонської області (проектні роботи)</t>
  </si>
  <si>
    <t>0217325</t>
  </si>
  <si>
    <t>Підтримка спорту вищих досягнень та організацій, які здійснюють  фізкультурно-спортивну діяльність в регіоні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</si>
  <si>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</si>
  <si>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</si>
  <si>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</si>
  <si>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</si>
  <si>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</si>
  <si>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</si>
  <si>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</si>
  <si>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</si>
  <si>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</si>
  <si>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</si>
  <si>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</si>
  <si>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</si>
  <si>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</si>
  <si>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</si>
  <si>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</si>
  <si>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</si>
  <si>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</si>
  <si>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</si>
  <si>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</si>
  <si>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</si>
  <si>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</si>
  <si>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</si>
  <si>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</si>
  <si>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</si>
  <si>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</si>
  <si>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</si>
  <si>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</si>
  <si>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</si>
  <si>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</si>
  <si>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</si>
  <si>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</si>
  <si>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</si>
  <si>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</si>
  <si>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</si>
  <si>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</si>
  <si>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</si>
  <si>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</si>
  <si>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</si>
  <si>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</si>
  <si>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</si>
  <si>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</si>
  <si>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</si>
  <si>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</si>
  <si>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</si>
  <si>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</si>
  <si>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</si>
  <si>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</si>
  <si>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</si>
  <si>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</si>
  <si>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</si>
  <si>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</si>
  <si>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</si>
  <si>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</si>
  <si>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</si>
  <si>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</si>
  <si>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</si>
  <si>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</si>
  <si>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</si>
  <si>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</si>
  <si>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</si>
  <si>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</si>
  <si>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</si>
  <si>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</si>
  <si>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</si>
  <si>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</si>
  <si>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</si>
  <si>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</si>
  <si>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</si>
  <si>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</si>
  <si>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</si>
  <si>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</si>
  <si>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</si>
  <si>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</si>
  <si>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</si>
  <si>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</si>
  <si>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</si>
  <si>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</si>
  <si>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</si>
  <si>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</si>
  <si>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</si>
  <si>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</si>
  <si>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</si>
  <si>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</si>
  <si>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</si>
  <si>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</si>
  <si>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</si>
  <si>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</si>
  <si>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</si>
  <si>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</si>
  <si>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</si>
  <si>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</si>
  <si>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</si>
  <si>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</si>
  <si>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</si>
  <si>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Кредитування бюджету Новокаховської міської об"єднаної територіальної громади  у 2020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</si>
  <si>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</si>
  <si>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</si>
  <si>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</si>
  <si>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</si>
  <si>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</si>
  <si>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</si>
  <si>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</si>
  <si>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Додаток 6</t>
  </si>
  <si>
    <t>Додаток 7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</si>
  <si>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</si>
  <si>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ділянки теплової мережі від ТК С19-5 до я/с №3 "Соколятко" по пр.Перемоги, 15 в м. Нова Каховка Херсонської області</t>
  </si>
  <si>
    <t>Капітальний ремонт ділянки теплової мережі від ТК С19-3 до ТК С19-3а в м. Нова Каховка Херсонської області</t>
  </si>
  <si>
    <t>Капітальний ремонт ділянки теплової мережі від ТКЄ40-1 до ТКЄ41 по вул. Затишна в м. Нова Каховка Херсонської області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</si>
  <si>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</si>
  <si>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</si>
  <si>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</si>
  <si>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елементів благоустрою скверу "Пристань"</t>
  </si>
  <si>
    <t>Капітальний ремонт (відновлення) пасажирського ліфту по вул. М.Букіна, 62а п. №3 у м. Нова Каховка</t>
  </si>
  <si>
    <t>Програма соціальної підтримки сім"ї на 2020-2022 роки</t>
  </si>
  <si>
    <t>Капітальний ремонт ділянки теплової мережі з заміною діаметра від ТК С20б-1 до ЗЗСО №10 по пр. Перемоги, 30 в м. Нова Каховка Херсонської області</t>
  </si>
  <si>
    <t>Капітальний ремонт маніпуляційного кабінету та кабінету щеплень в східному крилі поліклініки №1 по вул. Героїв України, 33а</t>
  </si>
  <si>
    <t>Капітальний ремонт хірургічного відділення на лікарняному комплексі №2 по вул. Свєтлова, 1 м. Нова Каховка</t>
  </si>
  <si>
    <t>Капітальний ремонт приміщень шкірно-венерологічного диспансеру по вул. Андріїївська буд. №30 м. Нова Каховка</t>
  </si>
  <si>
    <t>Капітальний ремонт покрівлі переходу дитячої полікліники на лікарняному комплексі по вул. Свєтлова, 1, м. Нова Каховка</t>
  </si>
  <si>
    <t>Капітальний ремонт будівлі по заміні дверних блоків в тхірургічному відділенні №1 по вул. Свєтлова, 1, м. Нова Каховка</t>
  </si>
  <si>
    <t>Капітальний ремонт амбулаторії загальної практики сімейної медицини №6, с. Веселе, вул. Наддніпрянська, 14</t>
  </si>
  <si>
    <t>Капітальний ремонт тротуарів по пр. Дніпровський вздовж житлової забудови в межах вулиць Паркова-Затишна</t>
  </si>
  <si>
    <t xml:space="preserve">Капітальний ремонт електричної мережі атракціонів </t>
  </si>
  <si>
    <t>Капітальний ремонт санвузлів для осіб з обмеженими можливостями в кінотеатрі "Юність"</t>
  </si>
  <si>
    <t>Капітальний ремонт покриття тротуарів по вулиці Першотравнева (в районі ж/б №22)</t>
  </si>
  <si>
    <t>Капітальний ремонт фойє будинку культури в смт. Козацьке, Бериславського району, Херсонської області</t>
  </si>
  <si>
    <t>Капітальний ремонт головного входу та огорожі спортивного комплексу стадіону "Енергія"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</si>
  <si>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</si>
  <si>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 (встановлення трибун) (проектні роботи)</t>
  </si>
  <si>
    <t>Створення нового освітнього простору профільної школи - 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</si>
  <si>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покрівлі я/с №7 "Ромашка"</t>
  </si>
  <si>
    <t>Капітальний ремонт перекриття ІІ поверху центральної частини будівлі НВК №2 із заміною підвісної стелі в м. Нова Каховка, вул. Історична, 9</t>
  </si>
  <si>
    <t>Капітальний ремонт будівлі спортивної зали ЗЗСО №6 (заміна вікон), м. Нова Каховка, пр. Дніпровський, 263</t>
  </si>
  <si>
    <t>Капітальний ремонт покрівлі учбового корпусу старшої школи гімназії, Херсонська область, місто Нова Каховка, вул. Першотравнева, 27</t>
  </si>
  <si>
    <t>Капітальний ремонт будівлі ДНЗ №14 по вул. Наддніпрянська, 102 в смт. Дніпряни м. Нова Каховка Херсонської області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</si>
  <si>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кабінетах старшої ланки школи), за адресою: Херсонська область, місто Нова Каховка, пр. Перемоги, 30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</si>
  <si>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приміщеннях шкільної їдальні, спортивного залу та початкової ланки школи), за адресою: Херсонська область, місто Нова Каховка, пр. Перемоги, 30</t>
  </si>
  <si>
    <t>Рішення Новокаховської міської ради від 17.09.2020 р.        № 3174</t>
  </si>
  <si>
    <t xml:space="preserve"> субвенція на забезпечення кисню ліжкового фонду закладів ОЗ , які надають мед.допомогу пацєнтам спричиненої КОВІД-19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</si>
  <si>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</si>
  <si>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</si>
  <si>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Реконструкція вуличного освітлення вул. Ушакова в смт. Дніпряни, Херсонської області</t>
  </si>
  <si>
    <t>Реконструкція вуличного освітлення вул. Ярошенко в смт. Дніпряни, Херсонської області</t>
  </si>
  <si>
    <t>Реконструкція вуличного освітлення по вул. Соснова в с. Корсунка, Херсонської області</t>
  </si>
  <si>
    <t>Реконструкція вуличного освітлення по вул.Степова в с. Корсунка, Херсонської області</t>
  </si>
  <si>
    <t>Рішення Новокаховської міської ради  від 12.12.2019 р.        № 2463 (зі змінами)</t>
  </si>
  <si>
    <t>Внутрішнє газопостачання амбулаторії загальної практики сімейної медицини по вул. Степовій, 31 в смт. Козацьке (проектні роботи)</t>
  </si>
  <si>
    <t>Програма розвитку архівної справи в місті Нова Каховка на 2017-2021 роки</t>
  </si>
  <si>
    <t>Рішення Новокаховської міської ради від 15.12.2016 р.             № 584 (зі змінами)</t>
  </si>
  <si>
    <t>Капітальний ремонт будівлі НВК "Д/з - ЗЗСО №2" (заміна вікон), м. Нова Каховка, вул. Довженка, 3</t>
  </si>
  <si>
    <t>Капітальний ремонт нежитлової будівлі в с. Обривка по вул. Ювілейна, 27</t>
  </si>
  <si>
    <t>Реконструкція вуличного освітлення вул. Степова в с. Нові Лагері, Херсонської області</t>
  </si>
  <si>
    <t>Реконструкція вуличного освітлення вул. Нова в с. Нові Лагері, Херсонської області</t>
  </si>
  <si>
    <t>Реконструкція вуличного освітлення вул. Миру в с. Нові Лагері, Херсонської області</t>
  </si>
  <si>
    <t>Капітальний ремонт проїзної частини вул. Нова в смт. Козацьке Херсонської області</t>
  </si>
  <si>
    <t>Капітальний ремонт покриття проїзної частини вул. Шевченко довжиною 250м в смт. Козацьке Херсонської області</t>
  </si>
  <si>
    <t>Капітальний ремонт системи вентиляції їдальні ЗЗСО №10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</si>
  <si>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</si>
  <si>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0611180</t>
  </si>
  <si>
    <t>1180</t>
  </si>
  <si>
    <t>Виконання заходів в рамках реалізації програми "Спроможна школа для кращих результатів"</t>
  </si>
  <si>
    <t>субвенція</t>
  </si>
  <si>
    <t>субвенція спроможна школа</t>
  </si>
  <si>
    <t>Капітальний ремонт будівлі ЗЗСО №6 (заміна вікон)</t>
  </si>
  <si>
    <t xml:space="preserve">реалізацію програми "Спроможна школа для кращих результатів" за рахунок відповідної субвенції з державного бюджету (видатки розвитку)
</t>
  </si>
  <si>
    <t>на заробітну плату з нарахуваннями педагогічним працівникам інклюзивно-ресурсних центрів</t>
  </si>
  <si>
    <t>ремонт та придбання обладнання для їдалень (харчоблоків) державних або комунальних закладів загальної середньої освіти</t>
  </si>
  <si>
    <t>спецільного фонду на:</t>
  </si>
  <si>
    <t>на фінансування проектів-переможців ІІІ обласного конкурсу проектів розвитку територіальних громад сіл, селищ, міст Херсонської області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</si>
  <si>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</si>
  <si>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будівлі я/с №9 "Оленка" (заміна вікон в гр. №10), м. Нова Каховка, вул. Свєтлова, 12/1</t>
  </si>
  <si>
    <t>Капітальний ремонт приміщення вестибюлю  ЗЗСО №10  м. Нова Каховка, проспект Перемоги, 30</t>
  </si>
  <si>
    <t>Капітальний ремонт будівлі ЗЗСО №10 (заміна дверей), м. Нова Каховка, пр. Перемоги, 30</t>
  </si>
  <si>
    <t>Капітальний ремонт будівлі ЗЗСО №10 (заміна вікон), м. Нова Каховка, пр. Перемоги, 30</t>
  </si>
  <si>
    <t>Капітальний ремонт покрівлі Будинку дитячої творчості, що розташована за адресою: Херсонська область, м. Нова Каховка, вул. Затишна, 19 (проектні роботи)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</si>
  <si>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та залишок на початок року - 38441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</si>
  <si>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</si>
  <si>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</si>
  <si>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Рішення Новокаховської міської ради від 20.12.2018 р.      № 1643</t>
  </si>
  <si>
    <t>0817323</t>
  </si>
  <si>
    <t>7323</t>
  </si>
  <si>
    <t>Будівництво установ та закладів соціальної сфери</t>
  </si>
  <si>
    <t>Улаштування огорожі пандусу кінотеатру "Юність"</t>
  </si>
  <si>
    <t>1117670</t>
  </si>
  <si>
    <t>Капітальний ремонт покрівлі будівлі за адресою вул. Історична, 52</t>
  </si>
  <si>
    <t>Капітальний ремонт приміщень будівлі ЗЗСО №1 (заміна вікон в кабінетах історії та інформатики), м. Нова Каховка, вул. Історична, 27/1</t>
  </si>
  <si>
    <t>Капітальний ремонт будівлі молодшої школи гімназії № 2 (заміна вікон в 1-А класі)</t>
  </si>
  <si>
    <t>Програма капітальних ремонтів об'єктів комунальної власності територіальногоцентру  соціального обслуговування (надання соціальних послуг) Новокаховської міської ради на 2020 рік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</si>
  <si>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</si>
  <si>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підготовку і проведення місцевих виборів 25 жовтня 2020 року</t>
  </si>
  <si>
    <t>всього</t>
  </si>
  <si>
    <t>з них на підготовку і проведення виборів депутатів районних рад</t>
  </si>
  <si>
    <t xml:space="preserve">виготовлення органами ведення Державного реєстру виборців списків виборців та іменних запрошень для підготовки і проведення місцевих виборів 25 жовтня 2020 року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</si>
  <si>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</si>
  <si>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5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</si>
  <si>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</si>
  <si>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</si>
  <si>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</si>
  <si>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0210181</t>
  </si>
  <si>
    <t>0210191</t>
  </si>
  <si>
    <t>0191</t>
  </si>
  <si>
    <t>Проведення місцевих виборів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</si>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</sst>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_-* #,##0.0\ _г_р_н_._-;\-* #,##0.0\ _г_р_н_._-;_-* &quot;-&quot;\ _г_р_н_._-;_-@_-"/>
    <numFmt numFmtId="207" formatCode="0.000000"/>
    <numFmt numFmtId="208" formatCode="#,##0.000"/>
    <numFmt numFmtId="209" formatCode="#,##0.0_ ;\-#,##0.0\ "/>
    <numFmt numFmtId="210" formatCode="#,##0.00_ ;\-#,##0.00\ "/>
    <numFmt numFmtId="211" formatCode="_-* #,##0.00\ _г_р_н_._-;\-* #,##0.00\ _г_р_н_._-;_-* &quot;-&quot;\ _г_р_н_._-;_-@_-"/>
    <numFmt numFmtId="212" formatCode="#,##0.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sz val="23"/>
      <color indexed="10"/>
      <name val="Times New Roman"/>
      <family val="1"/>
    </font>
    <font>
      <b/>
      <sz val="2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>
      <alignment vertical="top"/>
      <protection/>
    </xf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5" fontId="2" fillId="0" borderId="12" xfId="66" applyNumberFormat="1" applyFont="1" applyBorder="1" applyAlignment="1">
      <alignment horizontal="center" vertical="center" wrapText="1"/>
    </xf>
    <xf numFmtId="185" fontId="2" fillId="0" borderId="12" xfId="66" applyNumberFormat="1" applyFont="1" applyFill="1" applyBorder="1" applyAlignment="1">
      <alignment horizontal="center" vertical="center" wrapText="1"/>
    </xf>
    <xf numFmtId="185" fontId="4" fillId="0" borderId="12" xfId="66" applyNumberFormat="1" applyFont="1" applyBorder="1" applyAlignment="1">
      <alignment horizontal="center" vertical="center" wrapText="1"/>
    </xf>
    <xf numFmtId="185" fontId="8" fillId="0" borderId="12" xfId="66" applyNumberFormat="1" applyFont="1" applyBorder="1" applyAlignment="1">
      <alignment horizontal="center" vertical="center"/>
    </xf>
    <xf numFmtId="185" fontId="9" fillId="0" borderId="12" xfId="66" applyNumberFormat="1" applyFont="1" applyBorder="1" applyAlignment="1">
      <alignment horizontal="center" vertical="center"/>
    </xf>
    <xf numFmtId="185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16" fillId="0" borderId="0" xfId="66" applyNumberFormat="1" applyFont="1" applyBorder="1" applyAlignment="1">
      <alignment vertical="center"/>
    </xf>
    <xf numFmtId="185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85" fontId="7" fillId="0" borderId="0" xfId="66" applyNumberFormat="1" applyFont="1" applyBorder="1" applyAlignment="1">
      <alignment vertical="center"/>
    </xf>
    <xf numFmtId="205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0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00" fontId="2" fillId="0" borderId="12" xfId="0" applyNumberFormat="1" applyFont="1" applyFill="1" applyBorder="1" applyAlignment="1">
      <alignment vertical="center" wrapText="1"/>
    </xf>
    <xf numFmtId="200" fontId="2" fillId="0" borderId="12" xfId="0" applyNumberFormat="1" applyFont="1" applyFill="1" applyBorder="1" applyAlignment="1">
      <alignment horizontal="left" vertical="center" wrapText="1"/>
    </xf>
    <xf numFmtId="200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5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01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201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200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5" fontId="4" fillId="0" borderId="12" xfId="66" applyNumberFormat="1" applyFont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>
      <alignment/>
    </xf>
    <xf numFmtId="49" fontId="16" fillId="0" borderId="25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26" xfId="0" applyFont="1" applyBorder="1" applyAlignment="1">
      <alignment horizontal="right" wrapText="1"/>
    </xf>
    <xf numFmtId="0" fontId="6" fillId="0" borderId="2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85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85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85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85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85" fontId="5" fillId="0" borderId="12" xfId="6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185" fontId="5" fillId="0" borderId="12" xfId="68" applyNumberFormat="1" applyFont="1" applyFill="1" applyBorder="1" applyAlignment="1" applyProtection="1">
      <alignment horizontal="center" vertical="center"/>
      <protection/>
    </xf>
    <xf numFmtId="185" fontId="6" fillId="0" borderId="12" xfId="68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85" fontId="26" fillId="0" borderId="12" xfId="68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/>
    </xf>
    <xf numFmtId="205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/>
    </xf>
    <xf numFmtId="0" fontId="16" fillId="0" borderId="0" xfId="0" applyFont="1" applyAlignment="1">
      <alignment wrapText="1"/>
    </xf>
    <xf numFmtId="205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3" fillId="24" borderId="31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205" fontId="10" fillId="0" borderId="0" xfId="0" applyNumberFormat="1" applyFont="1" applyAlignment="1">
      <alignment/>
    </xf>
    <xf numFmtId="1" fontId="7" fillId="0" borderId="18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36" fillId="0" borderId="32" xfId="0" applyNumberFormat="1" applyFont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205" fontId="37" fillId="0" borderId="13" xfId="66" applyNumberFormat="1" applyFont="1" applyBorder="1" applyAlignment="1">
      <alignment vertical="center" wrapText="1"/>
    </xf>
    <xf numFmtId="205" fontId="37" fillId="0" borderId="12" xfId="66" applyNumberFormat="1" applyFont="1" applyBorder="1" applyAlignment="1">
      <alignment vertical="center" wrapText="1"/>
    </xf>
    <xf numFmtId="205" fontId="38" fillId="0" borderId="12" xfId="66" applyNumberFormat="1" applyFont="1" applyBorder="1" applyAlignment="1">
      <alignment vertical="center"/>
    </xf>
    <xf numFmtId="205" fontId="38" fillId="0" borderId="12" xfId="66" applyNumberFormat="1" applyFont="1" applyBorder="1" applyAlignment="1">
      <alignment vertical="center" wrapText="1"/>
    </xf>
    <xf numFmtId="205" fontId="39" fillId="0" borderId="12" xfId="66" applyNumberFormat="1" applyFont="1" applyBorder="1" applyAlignment="1">
      <alignment vertical="center" wrapText="1"/>
    </xf>
    <xf numFmtId="205" fontId="38" fillId="0" borderId="16" xfId="66" applyNumberFormat="1" applyFont="1" applyBorder="1" applyAlignment="1">
      <alignment vertical="center" wrapText="1"/>
    </xf>
    <xf numFmtId="205" fontId="38" fillId="0" borderId="16" xfId="66" applyNumberFormat="1" applyFont="1" applyBorder="1" applyAlignment="1">
      <alignment vertical="center"/>
    </xf>
    <xf numFmtId="205" fontId="37" fillId="0" borderId="13" xfId="66" applyNumberFormat="1" applyFont="1" applyBorder="1" applyAlignment="1">
      <alignment vertical="center"/>
    </xf>
    <xf numFmtId="205" fontId="38" fillId="0" borderId="12" xfId="0" applyNumberFormat="1" applyFont="1" applyBorder="1" applyAlignment="1">
      <alignment/>
    </xf>
    <xf numFmtId="205" fontId="38" fillId="0" borderId="17" xfId="66" applyNumberFormat="1" applyFont="1" applyBorder="1" applyAlignment="1">
      <alignment vertical="center"/>
    </xf>
    <xf numFmtId="205" fontId="38" fillId="0" borderId="17" xfId="66" applyNumberFormat="1" applyFont="1" applyBorder="1" applyAlignment="1">
      <alignment vertical="center" wrapText="1"/>
    </xf>
    <xf numFmtId="205" fontId="38" fillId="0" borderId="13" xfId="66" applyNumberFormat="1" applyFont="1" applyBorder="1" applyAlignment="1">
      <alignment vertical="center"/>
    </xf>
    <xf numFmtId="205" fontId="38" fillId="0" borderId="13" xfId="66" applyNumberFormat="1" applyFont="1" applyBorder="1" applyAlignment="1">
      <alignment vertical="center" wrapText="1"/>
    </xf>
    <xf numFmtId="205" fontId="37" fillId="0" borderId="12" xfId="66" applyNumberFormat="1" applyFont="1" applyBorder="1" applyAlignment="1">
      <alignment vertical="center"/>
    </xf>
    <xf numFmtId="205" fontId="40" fillId="0" borderId="12" xfId="66" applyNumberFormat="1" applyFont="1" applyBorder="1" applyAlignment="1">
      <alignment vertical="center"/>
    </xf>
    <xf numFmtId="205" fontId="38" fillId="0" borderId="25" xfId="66" applyNumberFormat="1" applyFont="1" applyBorder="1" applyAlignment="1">
      <alignment vertical="center"/>
    </xf>
    <xf numFmtId="205" fontId="38" fillId="0" borderId="25" xfId="66" applyNumberFormat="1" applyFont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right" vertical="center"/>
    </xf>
    <xf numFmtId="1" fontId="38" fillId="0" borderId="12" xfId="0" applyNumberFormat="1" applyFont="1" applyFill="1" applyBorder="1" applyAlignment="1">
      <alignment horizontal="center" vertical="center"/>
    </xf>
    <xf numFmtId="205" fontId="38" fillId="0" borderId="12" xfId="66" applyNumberFormat="1" applyFont="1" applyFill="1" applyBorder="1" applyAlignment="1">
      <alignment vertical="center"/>
    </xf>
    <xf numFmtId="1" fontId="9" fillId="0" borderId="12" xfId="0" applyNumberFormat="1" applyFont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3" fontId="9" fillId="24" borderId="12" xfId="0" applyNumberFormat="1" applyFont="1" applyFill="1" applyBorder="1" applyAlignment="1">
      <alignment horizontal="center"/>
    </xf>
    <xf numFmtId="3" fontId="9" fillId="24" borderId="18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3" fontId="9" fillId="24" borderId="17" xfId="0" applyNumberFormat="1" applyFont="1" applyFill="1" applyBorder="1" applyAlignment="1">
      <alignment horizontal="center"/>
    </xf>
    <xf numFmtId="3" fontId="9" fillId="24" borderId="34" xfId="0" applyNumberFormat="1" applyFont="1" applyFill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24" borderId="28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 wrapText="1"/>
    </xf>
    <xf numFmtId="3" fontId="22" fillId="0" borderId="36" xfId="0" applyNumberFormat="1" applyFont="1" applyBorder="1" applyAlignment="1">
      <alignment horizontal="center" wrapText="1"/>
    </xf>
    <xf numFmtId="3" fontId="22" fillId="0" borderId="1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11" fontId="2" fillId="0" borderId="12" xfId="68" applyNumberFormat="1" applyFont="1" applyBorder="1" applyAlignment="1">
      <alignment horizontal="center" vertical="center" wrapText="1"/>
    </xf>
    <xf numFmtId="211" fontId="0" fillId="0" borderId="0" xfId="0" applyNumberFormat="1" applyAlignment="1">
      <alignment/>
    </xf>
    <xf numFmtId="211" fontId="2" fillId="0" borderId="12" xfId="66" applyNumberFormat="1" applyFont="1" applyFill="1" applyBorder="1" applyAlignment="1" applyProtection="1">
      <alignment horizontal="center" vertical="center"/>
      <protection/>
    </xf>
    <xf numFmtId="4" fontId="2" fillId="0" borderId="13" xfId="66" applyNumberFormat="1" applyFont="1" applyFill="1" applyBorder="1" applyAlignment="1" applyProtection="1">
      <alignment horizontal="center" vertical="center"/>
      <protection/>
    </xf>
    <xf numFmtId="4" fontId="2" fillId="0" borderId="12" xfId="66" applyNumberFormat="1" applyFont="1" applyFill="1" applyBorder="1" applyAlignment="1" applyProtection="1">
      <alignment horizontal="center" vertical="center"/>
      <protection/>
    </xf>
    <xf numFmtId="4" fontId="4" fillId="0" borderId="12" xfId="58" applyNumberFormat="1" applyFont="1" applyBorder="1" applyAlignment="1">
      <alignment horizontal="center"/>
      <protection/>
    </xf>
    <xf numFmtId="4" fontId="4" fillId="0" borderId="12" xfId="58" applyNumberFormat="1" applyFont="1" applyBorder="1" applyAlignment="1">
      <alignment wrapText="1"/>
      <protection/>
    </xf>
    <xf numFmtId="4" fontId="4" fillId="0" borderId="12" xfId="66" applyNumberFormat="1" applyFont="1" applyFill="1" applyBorder="1" applyAlignment="1" applyProtection="1">
      <alignment horizontal="center" vertical="center"/>
      <protection/>
    </xf>
    <xf numFmtId="4" fontId="2" fillId="0" borderId="12" xfId="58" applyNumberFormat="1" applyFont="1" applyBorder="1" applyAlignment="1">
      <alignment wrapText="1"/>
      <protection/>
    </xf>
    <xf numFmtId="210" fontId="37" fillId="0" borderId="13" xfId="66" applyNumberFormat="1" applyFont="1" applyBorder="1" applyAlignment="1">
      <alignment vertical="center"/>
    </xf>
    <xf numFmtId="210" fontId="37" fillId="0" borderId="12" xfId="66" applyNumberFormat="1" applyFont="1" applyBorder="1" applyAlignment="1">
      <alignment vertical="center"/>
    </xf>
    <xf numFmtId="210" fontId="37" fillId="0" borderId="13" xfId="66" applyNumberFormat="1" applyFont="1" applyBorder="1" applyAlignment="1">
      <alignment vertical="center" wrapText="1"/>
    </xf>
    <xf numFmtId="210" fontId="37" fillId="0" borderId="12" xfId="66" applyNumberFormat="1" applyFont="1" applyBorder="1" applyAlignment="1">
      <alignment vertical="center" wrapText="1"/>
    </xf>
    <xf numFmtId="211" fontId="5" fillId="0" borderId="12" xfId="68" applyNumberFormat="1" applyFont="1" applyBorder="1" applyAlignment="1">
      <alignment horizontal="center" vertical="center" wrapText="1"/>
    </xf>
    <xf numFmtId="4" fontId="9" fillId="24" borderId="12" xfId="0" applyNumberFormat="1" applyFont="1" applyFill="1" applyBorder="1" applyAlignment="1">
      <alignment horizontal="center"/>
    </xf>
    <xf numFmtId="4" fontId="9" fillId="24" borderId="28" xfId="0" applyNumberFormat="1" applyFont="1" applyFill="1" applyBorder="1" applyAlignment="1">
      <alignment horizontal="center"/>
    </xf>
    <xf numFmtId="4" fontId="22" fillId="0" borderId="16" xfId="0" applyNumberFormat="1" applyFont="1" applyBorder="1" applyAlignment="1">
      <alignment horizont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6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49" fontId="33" fillId="2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" fillId="0" borderId="12" xfId="58" applyNumberFormat="1" applyFont="1" applyBorder="1">
      <alignment/>
      <protection/>
    </xf>
    <xf numFmtId="210" fontId="38" fillId="0" borderId="13" xfId="66" applyNumberFormat="1" applyFont="1" applyBorder="1" applyAlignment="1">
      <alignment vertic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24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10" fontId="38" fillId="0" borderId="17" xfId="66" applyNumberFormat="1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205" fontId="38" fillId="0" borderId="28" xfId="66" applyNumberFormat="1" applyFont="1" applyBorder="1" applyAlignment="1">
      <alignment vertical="center" wrapText="1"/>
    </xf>
    <xf numFmtId="210" fontId="38" fillId="0" borderId="28" xfId="66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4" fontId="4" fillId="0" borderId="18" xfId="58" applyNumberFormat="1" applyFont="1" applyBorder="1" applyAlignment="1">
      <alignment wrapText="1"/>
      <protection/>
    </xf>
    <xf numFmtId="4" fontId="10" fillId="0" borderId="19" xfId="0" applyNumberFormat="1" applyFont="1" applyBorder="1" applyAlignment="1">
      <alignment wrapText="1"/>
    </xf>
    <xf numFmtId="4" fontId="10" fillId="0" borderId="15" xfId="0" applyNumberFormat="1" applyFont="1" applyBorder="1" applyAlignment="1">
      <alignment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/>
    </xf>
    <xf numFmtId="0" fontId="0" fillId="0" borderId="56" xfId="0" applyBorder="1" applyAlignment="1">
      <alignment/>
    </xf>
    <xf numFmtId="0" fontId="32" fillId="0" borderId="5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24" borderId="58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59" xfId="0" applyFont="1" applyBorder="1" applyAlignment="1">
      <alignment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24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0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200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20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19.875" style="0" customWidth="1"/>
    <col min="2" max="2" width="46.75390625" style="0" customWidth="1"/>
    <col min="3" max="3" width="26.375" style="0" customWidth="1"/>
    <col min="4" max="4" width="25.75390625" style="0" customWidth="1"/>
    <col min="5" max="5" width="20.00390625" style="0" customWidth="1"/>
    <col min="6" max="6" width="18.125" style="0" customWidth="1"/>
    <col min="7" max="7" width="14.25390625" style="0" bestFit="1" customWidth="1"/>
    <col min="8" max="8" width="18.00390625" style="0" bestFit="1" customWidth="1"/>
  </cols>
  <sheetData>
    <row r="1" spans="1:6" ht="18.75">
      <c r="A1" s="362"/>
      <c r="B1" s="204"/>
      <c r="E1" s="205"/>
      <c r="F1" s="27"/>
    </row>
    <row r="2" spans="1:6" ht="19.5" customHeight="1">
      <c r="A2" s="362"/>
      <c r="B2" s="204"/>
      <c r="D2" s="206"/>
      <c r="E2" s="40"/>
      <c r="F2" s="40"/>
    </row>
    <row r="3" spans="1:6" ht="19.5" customHeight="1">
      <c r="A3" s="362"/>
      <c r="B3" s="204"/>
      <c r="D3" s="206"/>
      <c r="E3" s="40" t="s">
        <v>332</v>
      </c>
      <c r="F3" s="40"/>
    </row>
    <row r="4" spans="1:6" ht="19.5" customHeight="1">
      <c r="A4" s="362"/>
      <c r="B4" s="204"/>
      <c r="D4" s="206"/>
      <c r="E4" s="40" t="s">
        <v>119</v>
      </c>
      <c r="F4" s="40"/>
    </row>
    <row r="5" spans="1:6" ht="19.5" customHeight="1">
      <c r="A5" s="362"/>
      <c r="B5" s="204"/>
      <c r="D5" s="206"/>
      <c r="E5" s="40" t="s">
        <v>336</v>
      </c>
      <c r="F5" s="40"/>
    </row>
    <row r="6" spans="1:6" ht="19.5" customHeight="1">
      <c r="A6" s="362"/>
      <c r="B6" s="204"/>
      <c r="D6" s="206"/>
      <c r="E6" s="40" t="s">
        <v>623</v>
      </c>
      <c r="F6" s="40"/>
    </row>
    <row r="7" spans="1:6" ht="19.5" customHeight="1">
      <c r="A7" s="362"/>
      <c r="B7" s="204"/>
      <c r="D7" s="206"/>
      <c r="E7" s="40" t="s">
        <v>333</v>
      </c>
      <c r="F7" s="40"/>
    </row>
    <row r="8" spans="1:6" ht="18.75">
      <c r="A8" s="362"/>
      <c r="B8" s="204"/>
      <c r="D8" s="206"/>
      <c r="E8" s="27" t="s">
        <v>334</v>
      </c>
      <c r="F8" s="28"/>
    </row>
    <row r="9" spans="1:6" ht="18.75">
      <c r="A9" s="362"/>
      <c r="B9" s="204"/>
      <c r="D9" s="206"/>
      <c r="E9" s="27" t="s">
        <v>335</v>
      </c>
      <c r="F9" s="28"/>
    </row>
    <row r="10" spans="1:6" ht="15">
      <c r="A10" s="362"/>
      <c r="B10" s="204"/>
      <c r="D10" s="363"/>
      <c r="E10" s="363"/>
      <c r="F10" s="363"/>
    </row>
    <row r="11" spans="1:6" ht="15">
      <c r="A11" s="362"/>
      <c r="B11" s="204"/>
      <c r="D11" s="207"/>
      <c r="E11" s="207"/>
      <c r="F11" s="4"/>
    </row>
    <row r="12" ht="12.75">
      <c r="A12" s="5"/>
    </row>
    <row r="13" spans="2:6" ht="45" customHeight="1">
      <c r="B13" s="364" t="s">
        <v>406</v>
      </c>
      <c r="C13" s="364"/>
      <c r="D13" s="364"/>
      <c r="E13" s="364"/>
      <c r="F13" s="208"/>
    </row>
    <row r="14" spans="1:6" ht="18.75">
      <c r="A14" s="177">
        <v>21528000000</v>
      </c>
      <c r="B14" s="209"/>
      <c r="C14" s="209"/>
      <c r="D14" s="209"/>
      <c r="E14" s="209"/>
      <c r="F14" s="209"/>
    </row>
    <row r="15" ht="12.75">
      <c r="A15" s="179" t="s">
        <v>644</v>
      </c>
    </row>
    <row r="16" ht="15.75">
      <c r="F16" s="210" t="s">
        <v>624</v>
      </c>
    </row>
    <row r="17" ht="15.75">
      <c r="F17" s="210"/>
    </row>
    <row r="18" spans="1:6" ht="15.75">
      <c r="A18" s="365" t="s">
        <v>625</v>
      </c>
      <c r="B18" s="365" t="s">
        <v>407</v>
      </c>
      <c r="C18" s="365" t="s">
        <v>626</v>
      </c>
      <c r="D18" s="365" t="s">
        <v>627</v>
      </c>
      <c r="E18" s="479" t="s">
        <v>628</v>
      </c>
      <c r="F18" s="480"/>
    </row>
    <row r="19" spans="1:6" ht="31.5">
      <c r="A19" s="365"/>
      <c r="B19" s="365"/>
      <c r="C19" s="365"/>
      <c r="D19" s="365"/>
      <c r="E19" s="23" t="s">
        <v>629</v>
      </c>
      <c r="F19" s="23" t="s">
        <v>630</v>
      </c>
    </row>
    <row r="20" spans="1:6" ht="12.75">
      <c r="A20" s="211">
        <v>1</v>
      </c>
      <c r="B20" s="211">
        <v>2</v>
      </c>
      <c r="C20" s="211">
        <v>3</v>
      </c>
      <c r="D20" s="211">
        <v>4</v>
      </c>
      <c r="E20" s="211">
        <v>5</v>
      </c>
      <c r="F20" s="211">
        <v>6</v>
      </c>
    </row>
    <row r="21" spans="1:6" ht="15.75">
      <c r="A21" s="23">
        <v>10000000</v>
      </c>
      <c r="B21" s="212" t="s">
        <v>408</v>
      </c>
      <c r="C21" s="213">
        <f>D21+E21</f>
        <v>368105901</v>
      </c>
      <c r="D21" s="213">
        <f>D22+D30+D33+D39+D58</f>
        <v>367945901</v>
      </c>
      <c r="E21" s="213">
        <f>E22+E30+E33+E39+E58</f>
        <v>160000</v>
      </c>
      <c r="F21" s="213"/>
    </row>
    <row r="22" spans="1:8" ht="31.5">
      <c r="A22" s="214">
        <v>11000000</v>
      </c>
      <c r="B22" s="215" t="s">
        <v>409</v>
      </c>
      <c r="C22" s="213">
        <f>D22+E22</f>
        <v>233797797</v>
      </c>
      <c r="D22" s="213">
        <f>D23+D28</f>
        <v>233797797</v>
      </c>
      <c r="E22" s="213"/>
      <c r="F22" s="213"/>
      <c r="H22" s="216"/>
    </row>
    <row r="23" spans="1:6" ht="15.75">
      <c r="A23" s="214">
        <v>11010000</v>
      </c>
      <c r="B23" s="215" t="s">
        <v>410</v>
      </c>
      <c r="C23" s="213">
        <f>D23+E23</f>
        <v>233789797</v>
      </c>
      <c r="D23" s="213">
        <f>SUM(D24:D27)</f>
        <v>233789797</v>
      </c>
      <c r="E23" s="213"/>
      <c r="F23" s="213"/>
    </row>
    <row r="24" spans="1:6" ht="78" customHeight="1">
      <c r="A24" s="214">
        <v>11010100</v>
      </c>
      <c r="B24" s="215" t="s">
        <v>417</v>
      </c>
      <c r="C24" s="213">
        <f>D24+E24</f>
        <v>169318201</v>
      </c>
      <c r="D24" s="213">
        <f>166444397+2203990+40000+629814</f>
        <v>169318201</v>
      </c>
      <c r="E24" s="213"/>
      <c r="F24" s="213"/>
    </row>
    <row r="25" spans="1:6" ht="99.75" customHeight="1">
      <c r="A25" s="214">
        <v>11010200</v>
      </c>
      <c r="B25" s="215" t="s">
        <v>418</v>
      </c>
      <c r="C25" s="213">
        <f>D25+E25</f>
        <v>55346596</v>
      </c>
      <c r="D25" s="213">
        <f>48015000+2634330+1285346+861070+997152+1200000+353698</f>
        <v>55346596</v>
      </c>
      <c r="E25" s="213"/>
      <c r="F25" s="213"/>
    </row>
    <row r="26" spans="1:6" ht="63">
      <c r="A26" s="214">
        <v>11010400</v>
      </c>
      <c r="B26" s="215" t="s">
        <v>419</v>
      </c>
      <c r="C26" s="213">
        <f>D26+E26</f>
        <v>6131600</v>
      </c>
      <c r="D26" s="213">
        <v>6131600</v>
      </c>
      <c r="E26" s="213"/>
      <c r="F26" s="213"/>
    </row>
    <row r="27" spans="1:6" ht="47.25">
      <c r="A27" s="214">
        <v>11010500</v>
      </c>
      <c r="B27" s="215" t="s">
        <v>420</v>
      </c>
      <c r="C27" s="213">
        <f>D27+E27</f>
        <v>2993400</v>
      </c>
      <c r="D27" s="213">
        <v>2993400</v>
      </c>
      <c r="E27" s="213"/>
      <c r="F27" s="213"/>
    </row>
    <row r="28" spans="1:6" ht="15.75">
      <c r="A28" s="214">
        <v>11020000</v>
      </c>
      <c r="B28" s="215" t="s">
        <v>421</v>
      </c>
      <c r="C28" s="213">
        <f>D28+E28</f>
        <v>8000</v>
      </c>
      <c r="D28" s="213">
        <f>D29</f>
        <v>8000</v>
      </c>
      <c r="E28" s="213"/>
      <c r="F28" s="213"/>
    </row>
    <row r="29" spans="1:6" ht="31.5">
      <c r="A29" s="214">
        <v>11020200</v>
      </c>
      <c r="B29" s="215" t="s">
        <v>422</v>
      </c>
      <c r="C29" s="213">
        <f>D29+E29</f>
        <v>8000</v>
      </c>
      <c r="D29" s="213">
        <v>8000</v>
      </c>
      <c r="E29" s="213"/>
      <c r="F29" s="213"/>
    </row>
    <row r="30" spans="1:6" ht="31.5">
      <c r="A30" s="214">
        <v>13000000</v>
      </c>
      <c r="B30" s="215" t="s">
        <v>423</v>
      </c>
      <c r="C30" s="213">
        <f>D30+E30</f>
        <v>81000</v>
      </c>
      <c r="D30" s="213">
        <f>D31</f>
        <v>81000</v>
      </c>
      <c r="E30" s="213"/>
      <c r="F30" s="213"/>
    </row>
    <row r="31" spans="1:6" ht="15.75">
      <c r="A31" s="214">
        <v>13030000</v>
      </c>
      <c r="B31" s="217" t="s">
        <v>424</v>
      </c>
      <c r="C31" s="213">
        <f>D31+E31</f>
        <v>81000</v>
      </c>
      <c r="D31" s="213">
        <f>D32</f>
        <v>81000</v>
      </c>
      <c r="E31" s="213"/>
      <c r="F31" s="213"/>
    </row>
    <row r="32" spans="1:8" ht="47.25">
      <c r="A32" s="214">
        <v>13030100</v>
      </c>
      <c r="B32" s="215" t="s">
        <v>425</v>
      </c>
      <c r="C32" s="213">
        <f>D32+E32</f>
        <v>81000</v>
      </c>
      <c r="D32" s="213">
        <v>81000</v>
      </c>
      <c r="E32" s="213"/>
      <c r="F32" s="213"/>
      <c r="H32" s="216"/>
    </row>
    <row r="33" spans="1:6" ht="15.75">
      <c r="A33" s="214">
        <v>14000000</v>
      </c>
      <c r="B33" s="215" t="s">
        <v>426</v>
      </c>
      <c r="C33" s="213">
        <f>D33+E33</f>
        <v>44676304</v>
      </c>
      <c r="D33" s="213">
        <f>D38+D34+D36</f>
        <v>44676304</v>
      </c>
      <c r="E33" s="213"/>
      <c r="F33" s="213"/>
    </row>
    <row r="34" spans="1:6" ht="31.5">
      <c r="A34" s="214">
        <v>14020000</v>
      </c>
      <c r="B34" s="215" t="s">
        <v>427</v>
      </c>
      <c r="C34" s="213">
        <f>D34+E34</f>
        <v>3018100</v>
      </c>
      <c r="D34" s="213">
        <f>D35</f>
        <v>3018100</v>
      </c>
      <c r="E34" s="213"/>
      <c r="F34" s="213"/>
    </row>
    <row r="35" spans="1:6" ht="15.75">
      <c r="A35" s="214">
        <v>14021900</v>
      </c>
      <c r="B35" s="215" t="s">
        <v>428</v>
      </c>
      <c r="C35" s="213">
        <f>D35+E35</f>
        <v>3018100</v>
      </c>
      <c r="D35" s="213">
        <v>3018100</v>
      </c>
      <c r="E35" s="213"/>
      <c r="F35" s="213"/>
    </row>
    <row r="36" spans="1:8" ht="47.25">
      <c r="A36" s="214">
        <v>14030000</v>
      </c>
      <c r="B36" s="215" t="s">
        <v>429</v>
      </c>
      <c r="C36" s="213">
        <f>D36+E36</f>
        <v>12996000</v>
      </c>
      <c r="D36" s="213">
        <f>D37</f>
        <v>12996000</v>
      </c>
      <c r="E36" s="213"/>
      <c r="F36" s="213"/>
      <c r="H36">
        <f>D34+D36</f>
        <v>16014100</v>
      </c>
    </row>
    <row r="37" spans="1:6" ht="15.75">
      <c r="A37" s="214">
        <v>14031900</v>
      </c>
      <c r="B37" s="215" t="s">
        <v>428</v>
      </c>
      <c r="C37" s="213">
        <f>D37+E37</f>
        <v>12996000</v>
      </c>
      <c r="D37" s="213">
        <v>12996000</v>
      </c>
      <c r="E37" s="213"/>
      <c r="F37" s="213"/>
    </row>
    <row r="38" spans="1:6" ht="47.25">
      <c r="A38" s="214">
        <v>14040000</v>
      </c>
      <c r="B38" s="215" t="s">
        <v>430</v>
      </c>
      <c r="C38" s="213">
        <f>D38+E38</f>
        <v>28662204</v>
      </c>
      <c r="D38" s="213">
        <f>22867300+4589542+44000+296733+482189+382440</f>
        <v>28662204</v>
      </c>
      <c r="E38" s="213"/>
      <c r="F38" s="213"/>
    </row>
    <row r="39" spans="1:8" ht="15.75">
      <c r="A39" s="214">
        <v>18000000</v>
      </c>
      <c r="B39" s="215" t="s">
        <v>431</v>
      </c>
      <c r="C39" s="213">
        <f>D39+E39</f>
        <v>89390800</v>
      </c>
      <c r="D39" s="213">
        <f>D40+D51+D54</f>
        <v>89390800</v>
      </c>
      <c r="E39" s="213"/>
      <c r="F39" s="213"/>
      <c r="H39" s="216"/>
    </row>
    <row r="40" spans="1:6" ht="15.75">
      <c r="A40" s="214">
        <v>18010000</v>
      </c>
      <c r="B40" s="215" t="s">
        <v>432</v>
      </c>
      <c r="C40" s="213">
        <f>D40+E40</f>
        <v>41095300</v>
      </c>
      <c r="D40" s="213">
        <f>SUM(D41:D50)</f>
        <v>41095300</v>
      </c>
      <c r="E40" s="213"/>
      <c r="F40" s="213"/>
    </row>
    <row r="41" spans="1:6" ht="63">
      <c r="A41" s="214">
        <v>18010100</v>
      </c>
      <c r="B41" s="24" t="s">
        <v>433</v>
      </c>
      <c r="C41" s="213">
        <f>D41+E41</f>
        <v>64400</v>
      </c>
      <c r="D41" s="213">
        <v>64400</v>
      </c>
      <c r="E41" s="213"/>
      <c r="F41" s="213"/>
    </row>
    <row r="42" spans="1:6" ht="75.75" customHeight="1">
      <c r="A42" s="214">
        <v>18010200</v>
      </c>
      <c r="B42" s="24" t="s">
        <v>434</v>
      </c>
      <c r="C42" s="213">
        <f>D42+E42</f>
        <v>380900</v>
      </c>
      <c r="D42" s="213">
        <v>380900</v>
      </c>
      <c r="E42" s="213"/>
      <c r="F42" s="213"/>
    </row>
    <row r="43" spans="1:6" ht="74.25" customHeight="1">
      <c r="A43" s="214">
        <v>18010300</v>
      </c>
      <c r="B43" s="24" t="s">
        <v>435</v>
      </c>
      <c r="C43" s="213">
        <f>D43+E43</f>
        <v>510700</v>
      </c>
      <c r="D43" s="213">
        <v>510700</v>
      </c>
      <c r="E43" s="213"/>
      <c r="F43" s="213"/>
    </row>
    <row r="44" spans="1:6" ht="63">
      <c r="A44" s="214">
        <v>18010400</v>
      </c>
      <c r="B44" s="24" t="s">
        <v>436</v>
      </c>
      <c r="C44" s="213">
        <f>D44+E44</f>
        <v>2230400</v>
      </c>
      <c r="D44" s="213">
        <v>2230400</v>
      </c>
      <c r="E44" s="213"/>
      <c r="F44" s="213"/>
    </row>
    <row r="45" spans="1:6" ht="15.75">
      <c r="A45" s="214">
        <v>18010500</v>
      </c>
      <c r="B45" s="24" t="s">
        <v>437</v>
      </c>
      <c r="C45" s="213">
        <f>D45+E45</f>
        <v>11276300</v>
      </c>
      <c r="D45" s="213">
        <v>11276300</v>
      </c>
      <c r="E45" s="213"/>
      <c r="F45" s="213"/>
    </row>
    <row r="46" spans="1:6" ht="15.75">
      <c r="A46" s="214">
        <v>18010600</v>
      </c>
      <c r="B46" s="24" t="s">
        <v>438</v>
      </c>
      <c r="C46" s="213">
        <f>D46+E46</f>
        <v>18884000</v>
      </c>
      <c r="D46" s="213">
        <v>18884000</v>
      </c>
      <c r="E46" s="213"/>
      <c r="F46" s="213"/>
    </row>
    <row r="47" spans="1:6" ht="15.75">
      <c r="A47" s="214">
        <v>18010700</v>
      </c>
      <c r="B47" s="24" t="s">
        <v>439</v>
      </c>
      <c r="C47" s="213">
        <f>D47+E47</f>
        <v>1296100</v>
      </c>
      <c r="D47" s="213">
        <v>1296100</v>
      </c>
      <c r="E47" s="213"/>
      <c r="F47" s="213"/>
    </row>
    <row r="48" spans="1:6" ht="15.75">
      <c r="A48" s="214">
        <v>18010900</v>
      </c>
      <c r="B48" s="24" t="s">
        <v>440</v>
      </c>
      <c r="C48" s="213">
        <f>D48+E48</f>
        <v>6177500</v>
      </c>
      <c r="D48" s="213">
        <v>6177500</v>
      </c>
      <c r="E48" s="213"/>
      <c r="F48" s="213"/>
    </row>
    <row r="49" spans="1:6" ht="15.75">
      <c r="A49" s="214">
        <v>18011000</v>
      </c>
      <c r="B49" s="24" t="s">
        <v>441</v>
      </c>
      <c r="C49" s="213">
        <f>D49+E49</f>
        <v>175000</v>
      </c>
      <c r="D49" s="213">
        <v>175000</v>
      </c>
      <c r="E49" s="213"/>
      <c r="F49" s="213"/>
    </row>
    <row r="50" spans="1:6" ht="15.75">
      <c r="A50" s="214">
        <v>18011100</v>
      </c>
      <c r="B50" s="171" t="s">
        <v>442</v>
      </c>
      <c r="C50" s="213">
        <f>D50+E50</f>
        <v>100000</v>
      </c>
      <c r="D50" s="213">
        <v>100000</v>
      </c>
      <c r="E50" s="213"/>
      <c r="F50" s="213"/>
    </row>
    <row r="51" spans="1:6" ht="15.75">
      <c r="A51" s="214">
        <v>18030000</v>
      </c>
      <c r="B51" s="171" t="s">
        <v>443</v>
      </c>
      <c r="C51" s="213">
        <f>D51+E51</f>
        <v>136400</v>
      </c>
      <c r="D51" s="213">
        <f>SUM(D52:D53)</f>
        <v>136400</v>
      </c>
      <c r="E51" s="213"/>
      <c r="F51" s="213"/>
    </row>
    <row r="52" spans="1:6" ht="31.5">
      <c r="A52" s="214">
        <v>18030100</v>
      </c>
      <c r="B52" s="171" t="s">
        <v>444</v>
      </c>
      <c r="C52" s="213">
        <f>D52+E52</f>
        <v>50600</v>
      </c>
      <c r="D52" s="213">
        <v>50600</v>
      </c>
      <c r="E52" s="213"/>
      <c r="F52" s="213"/>
    </row>
    <row r="53" spans="1:6" ht="31.5">
      <c r="A53" s="214">
        <v>18030200</v>
      </c>
      <c r="B53" s="171" t="s">
        <v>445</v>
      </c>
      <c r="C53" s="213">
        <f>D53+E53</f>
        <v>85800</v>
      </c>
      <c r="D53" s="213">
        <v>85800</v>
      </c>
      <c r="E53" s="213"/>
      <c r="F53" s="213"/>
    </row>
    <row r="54" spans="1:6" ht="15.75">
      <c r="A54" s="214">
        <v>18050000</v>
      </c>
      <c r="B54" s="218" t="s">
        <v>446</v>
      </c>
      <c r="C54" s="213">
        <f>D54+E54</f>
        <v>48159100</v>
      </c>
      <c r="D54" s="213">
        <f>SUM(D55:D57)</f>
        <v>48159100</v>
      </c>
      <c r="E54" s="213"/>
      <c r="F54" s="213"/>
    </row>
    <row r="55" spans="1:6" ht="15.75">
      <c r="A55" s="214">
        <v>18050300</v>
      </c>
      <c r="B55" s="218" t="s">
        <v>447</v>
      </c>
      <c r="C55" s="213">
        <f>D55+E55</f>
        <v>8744700</v>
      </c>
      <c r="D55" s="213">
        <v>8744700</v>
      </c>
      <c r="E55" s="213"/>
      <c r="F55" s="213"/>
    </row>
    <row r="56" spans="1:6" ht="15.75">
      <c r="A56" s="214">
        <v>18050400</v>
      </c>
      <c r="B56" s="218" t="s">
        <v>448</v>
      </c>
      <c r="C56" s="213">
        <f>D56+E56</f>
        <v>38423800</v>
      </c>
      <c r="D56" s="213">
        <v>38423800</v>
      </c>
      <c r="E56" s="213"/>
      <c r="F56" s="213"/>
    </row>
    <row r="57" spans="1:6" ht="78.75">
      <c r="A57" s="214">
        <v>18050500</v>
      </c>
      <c r="B57" s="24" t="s">
        <v>449</v>
      </c>
      <c r="C57" s="213">
        <f>D57+E57</f>
        <v>990600</v>
      </c>
      <c r="D57" s="213">
        <v>990600</v>
      </c>
      <c r="E57" s="213"/>
      <c r="F57" s="213"/>
    </row>
    <row r="58" spans="1:6" ht="15.75">
      <c r="A58" s="214">
        <v>19000000</v>
      </c>
      <c r="B58" s="215" t="s">
        <v>450</v>
      </c>
      <c r="C58" s="213">
        <f>D58+E58</f>
        <v>160000</v>
      </c>
      <c r="D58" s="213"/>
      <c r="E58" s="213">
        <f>E59</f>
        <v>160000</v>
      </c>
      <c r="F58" s="213"/>
    </row>
    <row r="59" spans="1:6" ht="15.75">
      <c r="A59" s="214">
        <v>19010000</v>
      </c>
      <c r="B59" s="215" t="s">
        <v>451</v>
      </c>
      <c r="C59" s="213">
        <f>D59+E59</f>
        <v>160000</v>
      </c>
      <c r="D59" s="213"/>
      <c r="E59" s="213">
        <f>SUM(E60:E62)</f>
        <v>160000</v>
      </c>
      <c r="F59" s="213"/>
    </row>
    <row r="60" spans="1:6" ht="78.75">
      <c r="A60" s="214">
        <v>19010100</v>
      </c>
      <c r="B60" s="215" t="s">
        <v>452</v>
      </c>
      <c r="C60" s="213">
        <f>D60+E60</f>
        <v>31000</v>
      </c>
      <c r="D60" s="213"/>
      <c r="E60" s="219">
        <v>31000</v>
      </c>
      <c r="F60" s="213"/>
    </row>
    <row r="61" spans="1:6" ht="31.5">
      <c r="A61" s="214">
        <v>19010200</v>
      </c>
      <c r="B61" s="215" t="s">
        <v>453</v>
      </c>
      <c r="C61" s="213">
        <f>D61+E61</f>
        <v>111000</v>
      </c>
      <c r="D61" s="213"/>
      <c r="E61" s="213">
        <v>111000</v>
      </c>
      <c r="F61" s="213"/>
    </row>
    <row r="62" spans="1:6" ht="63">
      <c r="A62" s="214">
        <v>19010300</v>
      </c>
      <c r="B62" s="215" t="s">
        <v>454</v>
      </c>
      <c r="C62" s="213">
        <f>D62+E62</f>
        <v>18000</v>
      </c>
      <c r="D62" s="213"/>
      <c r="E62" s="213">
        <v>18000</v>
      </c>
      <c r="F62" s="213"/>
    </row>
    <row r="63" spans="1:6" ht="15.75">
      <c r="A63" s="23">
        <v>20000000</v>
      </c>
      <c r="B63" s="212" t="s">
        <v>455</v>
      </c>
      <c r="C63" s="213">
        <f>D63+E63</f>
        <v>18538657</v>
      </c>
      <c r="D63" s="213">
        <f>D64+D71+D83</f>
        <v>8393472</v>
      </c>
      <c r="E63" s="213">
        <f>E64+E71+E83+E93</f>
        <v>10145185</v>
      </c>
      <c r="F63" s="213">
        <f>F64+F71+F83+F93</f>
        <v>690174</v>
      </c>
    </row>
    <row r="64" spans="1:8" ht="31.5">
      <c r="A64" s="214">
        <v>21000000</v>
      </c>
      <c r="B64" s="215" t="s">
        <v>456</v>
      </c>
      <c r="C64" s="213">
        <f>D64+E64</f>
        <v>230972</v>
      </c>
      <c r="D64" s="213">
        <f>D65+D67</f>
        <v>230972</v>
      </c>
      <c r="E64" s="213"/>
      <c r="F64" s="213"/>
      <c r="H64" s="216"/>
    </row>
    <row r="65" spans="1:6" ht="126">
      <c r="A65" s="214">
        <v>21010000</v>
      </c>
      <c r="B65" s="215" t="s">
        <v>457</v>
      </c>
      <c r="C65" s="213">
        <f>D65+E65</f>
        <v>60872</v>
      </c>
      <c r="D65" s="213">
        <f>D66</f>
        <v>60872</v>
      </c>
      <c r="E65" s="213"/>
      <c r="F65" s="213"/>
    </row>
    <row r="66" spans="1:6" ht="63">
      <c r="A66" s="214">
        <v>21010300</v>
      </c>
      <c r="B66" s="215" t="s">
        <v>458</v>
      </c>
      <c r="C66" s="213">
        <f>D66+E66</f>
        <v>60872</v>
      </c>
      <c r="D66" s="213">
        <f>500+60372</f>
        <v>60872</v>
      </c>
      <c r="E66" s="213"/>
      <c r="F66" s="213"/>
    </row>
    <row r="67" spans="1:6" ht="15.75">
      <c r="A67" s="25">
        <v>21080000</v>
      </c>
      <c r="B67" s="220" t="s">
        <v>459</v>
      </c>
      <c r="C67" s="213">
        <f>D67+E67</f>
        <v>170100</v>
      </c>
      <c r="D67" s="213">
        <f>SUM(D68:D70)</f>
        <v>170100</v>
      </c>
      <c r="E67" s="213"/>
      <c r="F67" s="213"/>
    </row>
    <row r="68" spans="1:6" ht="15.75">
      <c r="A68" s="25">
        <v>21081100</v>
      </c>
      <c r="B68" s="171" t="s">
        <v>460</v>
      </c>
      <c r="C68" s="213">
        <f>D68+E68</f>
        <v>42800</v>
      </c>
      <c r="D68" s="213">
        <v>42800</v>
      </c>
      <c r="E68" s="213"/>
      <c r="F68" s="213"/>
    </row>
    <row r="69" spans="1:6" ht="63">
      <c r="A69" s="25">
        <v>21081500</v>
      </c>
      <c r="B69" s="171" t="s">
        <v>461</v>
      </c>
      <c r="C69" s="213">
        <f>D69+E69</f>
        <v>119000</v>
      </c>
      <c r="D69" s="213">
        <v>119000</v>
      </c>
      <c r="E69" s="213"/>
      <c r="F69" s="213"/>
    </row>
    <row r="70" spans="1:6" ht="15.75">
      <c r="A70" s="25">
        <v>21081700</v>
      </c>
      <c r="B70" s="171" t="s">
        <v>462</v>
      </c>
      <c r="C70" s="213">
        <f>D70+E70</f>
        <v>8300</v>
      </c>
      <c r="D70" s="213">
        <v>8300</v>
      </c>
      <c r="E70" s="213"/>
      <c r="F70" s="213"/>
    </row>
    <row r="71" spans="1:6" ht="31.5">
      <c r="A71" s="214">
        <v>22000000</v>
      </c>
      <c r="B71" s="215" t="s">
        <v>463</v>
      </c>
      <c r="C71" s="213">
        <f>D71+E71</f>
        <v>7926210</v>
      </c>
      <c r="D71" s="213">
        <f>D72+D77+D79+D82</f>
        <v>7926210</v>
      </c>
      <c r="E71" s="213"/>
      <c r="F71" s="213"/>
    </row>
    <row r="72" spans="1:8" ht="15.75">
      <c r="A72" s="25">
        <v>22010000</v>
      </c>
      <c r="B72" s="171" t="s">
        <v>464</v>
      </c>
      <c r="C72" s="213">
        <f>D72+E72</f>
        <v>3752910</v>
      </c>
      <c r="D72" s="213">
        <f>D73+D74+D75+D76</f>
        <v>3752910</v>
      </c>
      <c r="E72" s="213"/>
      <c r="F72" s="213"/>
      <c r="H72" s="216"/>
    </row>
    <row r="73" spans="1:6" ht="63">
      <c r="A73" s="25">
        <v>22010300</v>
      </c>
      <c r="B73" s="171" t="s">
        <v>465</v>
      </c>
      <c r="C73" s="213">
        <f>D73+E73</f>
        <v>230000</v>
      </c>
      <c r="D73" s="213">
        <v>230000</v>
      </c>
      <c r="E73" s="213"/>
      <c r="F73" s="213"/>
    </row>
    <row r="74" spans="1:6" ht="31.5">
      <c r="A74" s="25">
        <v>22012500</v>
      </c>
      <c r="B74" s="171" t="s">
        <v>466</v>
      </c>
      <c r="C74" s="213">
        <f>D74+E74</f>
        <v>3154100</v>
      </c>
      <c r="D74" s="213">
        <v>3154100</v>
      </c>
      <c r="E74" s="213"/>
      <c r="F74" s="213"/>
    </row>
    <row r="75" spans="1:6" ht="47.25">
      <c r="A75" s="25">
        <v>22012600</v>
      </c>
      <c r="B75" s="171" t="s">
        <v>467</v>
      </c>
      <c r="C75" s="213">
        <f>D75+E75</f>
        <v>352000</v>
      </c>
      <c r="D75" s="213">
        <v>352000</v>
      </c>
      <c r="E75" s="213"/>
      <c r="F75" s="213"/>
    </row>
    <row r="76" spans="1:7" ht="126">
      <c r="A76" s="25">
        <v>22012900</v>
      </c>
      <c r="B76" s="171" t="s">
        <v>593</v>
      </c>
      <c r="C76" s="213">
        <f>D76+E76</f>
        <v>16810</v>
      </c>
      <c r="D76" s="213">
        <v>16810</v>
      </c>
      <c r="E76" s="213"/>
      <c r="F76" s="213"/>
      <c r="G76" s="216"/>
    </row>
    <row r="77" spans="1:6" ht="47.25">
      <c r="A77" s="214">
        <v>22080000</v>
      </c>
      <c r="B77" s="215" t="s">
        <v>468</v>
      </c>
      <c r="C77" s="213">
        <f>D77+E77</f>
        <v>4102000</v>
      </c>
      <c r="D77" s="213">
        <f>D78</f>
        <v>4102000</v>
      </c>
      <c r="E77" s="213"/>
      <c r="F77" s="213"/>
    </row>
    <row r="78" spans="1:6" ht="63">
      <c r="A78" s="214">
        <v>22080400</v>
      </c>
      <c r="B78" s="215" t="s">
        <v>469</v>
      </c>
      <c r="C78" s="213">
        <f>D78+E78</f>
        <v>4102000</v>
      </c>
      <c r="D78" s="213">
        <v>4102000</v>
      </c>
      <c r="E78" s="213"/>
      <c r="F78" s="213"/>
    </row>
    <row r="79" spans="1:6" ht="15.75">
      <c r="A79" s="214">
        <v>22090000</v>
      </c>
      <c r="B79" s="215" t="s">
        <v>470</v>
      </c>
      <c r="C79" s="213">
        <f>D79+E79</f>
        <v>69300</v>
      </c>
      <c r="D79" s="213">
        <f>SUM(D80:D81)</f>
        <v>69300</v>
      </c>
      <c r="E79" s="213"/>
      <c r="F79" s="213"/>
    </row>
    <row r="80" spans="1:6" ht="63">
      <c r="A80" s="214">
        <v>22090100</v>
      </c>
      <c r="B80" s="215" t="s">
        <v>471</v>
      </c>
      <c r="C80" s="213">
        <f>D80+E80</f>
        <v>15300</v>
      </c>
      <c r="D80" s="213">
        <v>15300</v>
      </c>
      <c r="E80" s="213"/>
      <c r="F80" s="213"/>
    </row>
    <row r="81" spans="1:6" ht="47.25">
      <c r="A81" s="214">
        <v>22090400</v>
      </c>
      <c r="B81" s="215" t="s">
        <v>472</v>
      </c>
      <c r="C81" s="213">
        <f>D81+E81</f>
        <v>54000</v>
      </c>
      <c r="D81" s="213">
        <v>54000</v>
      </c>
      <c r="E81" s="213"/>
      <c r="F81" s="213"/>
    </row>
    <row r="82" spans="1:6" ht="110.25">
      <c r="A82" s="214">
        <v>22130000</v>
      </c>
      <c r="B82" s="215" t="s">
        <v>473</v>
      </c>
      <c r="C82" s="213">
        <f>D82+E82</f>
        <v>2000</v>
      </c>
      <c r="D82" s="213">
        <v>2000</v>
      </c>
      <c r="E82" s="213"/>
      <c r="F82" s="213"/>
    </row>
    <row r="83" spans="1:8" ht="15.75">
      <c r="A83" s="214">
        <v>24000000</v>
      </c>
      <c r="B83" s="215" t="s">
        <v>474</v>
      </c>
      <c r="C83" s="213">
        <f>D83+E83</f>
        <v>978464</v>
      </c>
      <c r="D83" s="213">
        <f>D84+D85+D90+D92</f>
        <v>236290</v>
      </c>
      <c r="E83" s="213">
        <f>E84+E85+E90+E92</f>
        <v>742174</v>
      </c>
      <c r="F83" s="213">
        <f>F84+F85+F90+F92</f>
        <v>690174</v>
      </c>
      <c r="H83" s="216"/>
    </row>
    <row r="84" spans="1:6" ht="63">
      <c r="A84" s="214">
        <v>24030000</v>
      </c>
      <c r="B84" s="215" t="s">
        <v>475</v>
      </c>
      <c r="C84" s="213">
        <f>D84+E84</f>
        <v>24200</v>
      </c>
      <c r="D84" s="213">
        <v>24200</v>
      </c>
      <c r="E84" s="213"/>
      <c r="F84" s="213"/>
    </row>
    <row r="85" spans="1:6" ht="15.75">
      <c r="A85" s="214">
        <v>24060000</v>
      </c>
      <c r="B85" s="215" t="s">
        <v>459</v>
      </c>
      <c r="C85" s="213">
        <f>D85+E85</f>
        <v>264090</v>
      </c>
      <c r="D85" s="213">
        <f>SUM(D86:D89)</f>
        <v>212090</v>
      </c>
      <c r="E85" s="213">
        <f>SUM(E86:E89)</f>
        <v>52000</v>
      </c>
      <c r="F85" s="213"/>
    </row>
    <row r="86" spans="1:6" ht="15.75">
      <c r="A86" s="214">
        <v>24060300</v>
      </c>
      <c r="B86" s="215" t="s">
        <v>459</v>
      </c>
      <c r="C86" s="213">
        <f>D86+E86</f>
        <v>207839</v>
      </c>
      <c r="D86" s="213">
        <f>111700+96139</f>
        <v>207839</v>
      </c>
      <c r="E86" s="213"/>
      <c r="F86" s="213"/>
    </row>
    <row r="87" spans="1:6" ht="31.5">
      <c r="A87" s="214">
        <v>24061600</v>
      </c>
      <c r="B87" s="215" t="s">
        <v>476</v>
      </c>
      <c r="C87" s="213">
        <f>D87+E87</f>
        <v>37000</v>
      </c>
      <c r="D87" s="213"/>
      <c r="E87" s="213">
        <v>37000</v>
      </c>
      <c r="F87" s="213"/>
    </row>
    <row r="88" spans="1:6" ht="63">
      <c r="A88" s="214">
        <v>24062100</v>
      </c>
      <c r="B88" s="215" t="s">
        <v>477</v>
      </c>
      <c r="C88" s="213">
        <f>D88+E88</f>
        <v>15000</v>
      </c>
      <c r="D88" s="213"/>
      <c r="E88" s="213">
        <v>15000</v>
      </c>
      <c r="F88" s="213"/>
    </row>
    <row r="89" spans="1:6" ht="173.25">
      <c r="A89" s="214">
        <v>24062200</v>
      </c>
      <c r="B89" s="215" t="s">
        <v>594</v>
      </c>
      <c r="C89" s="213">
        <f>D89+E89</f>
        <v>4251</v>
      </c>
      <c r="D89" s="213">
        <v>4251</v>
      </c>
      <c r="E89" s="213"/>
      <c r="F89" s="213"/>
    </row>
    <row r="90" spans="1:6" ht="31.5">
      <c r="A90" s="214">
        <v>24110000</v>
      </c>
      <c r="B90" s="215" t="s">
        <v>478</v>
      </c>
      <c r="C90" s="213">
        <f>D90+E90</f>
        <v>12</v>
      </c>
      <c r="D90" s="213"/>
      <c r="E90" s="213">
        <f>E91</f>
        <v>12</v>
      </c>
      <c r="F90" s="213">
        <f>F91</f>
        <v>12</v>
      </c>
    </row>
    <row r="91" spans="1:6" ht="47.25">
      <c r="A91" s="214">
        <v>24110700</v>
      </c>
      <c r="B91" s="215" t="s">
        <v>479</v>
      </c>
      <c r="C91" s="213">
        <f>D91+E91</f>
        <v>12</v>
      </c>
      <c r="D91" s="213"/>
      <c r="E91" s="213">
        <f>F91</f>
        <v>12</v>
      </c>
      <c r="F91" s="213">
        <v>12</v>
      </c>
    </row>
    <row r="92" spans="1:6" ht="31.5">
      <c r="A92" s="214">
        <v>24170000</v>
      </c>
      <c r="B92" s="215" t="s">
        <v>480</v>
      </c>
      <c r="C92" s="213">
        <f>D92+E92</f>
        <v>690162</v>
      </c>
      <c r="D92" s="213"/>
      <c r="E92" s="213">
        <f>F92</f>
        <v>690162</v>
      </c>
      <c r="F92" s="213">
        <f>150000+415925+124237</f>
        <v>690162</v>
      </c>
    </row>
    <row r="93" spans="1:6" ht="15.75">
      <c r="A93" s="214">
        <v>25000000</v>
      </c>
      <c r="B93" s="215" t="s">
        <v>481</v>
      </c>
      <c r="C93" s="213">
        <f>D93+E93</f>
        <v>9403011</v>
      </c>
      <c r="D93" s="213"/>
      <c r="E93" s="213">
        <f>E94</f>
        <v>9403011</v>
      </c>
      <c r="F93" s="213"/>
    </row>
    <row r="94" spans="1:6" ht="47.25">
      <c r="A94" s="214">
        <v>25010000</v>
      </c>
      <c r="B94" s="215" t="s">
        <v>482</v>
      </c>
      <c r="C94" s="213">
        <f>D94+E94</f>
        <v>9403011</v>
      </c>
      <c r="D94" s="213"/>
      <c r="E94" s="213">
        <f>SUM(E95:E97)</f>
        <v>9403011</v>
      </c>
      <c r="F94" s="213"/>
    </row>
    <row r="95" spans="1:6" ht="31.5">
      <c r="A95" s="214">
        <v>25010100</v>
      </c>
      <c r="B95" s="215" t="s">
        <v>483</v>
      </c>
      <c r="C95" s="213">
        <f>D95+E95</f>
        <v>9293463</v>
      </c>
      <c r="D95" s="213"/>
      <c r="E95" s="213">
        <f>8855553+437910</f>
        <v>9293463</v>
      </c>
      <c r="F95" s="213"/>
    </row>
    <row r="96" spans="1:6" ht="63">
      <c r="A96" s="214">
        <v>25010300</v>
      </c>
      <c r="B96" s="215" t="s">
        <v>484</v>
      </c>
      <c r="C96" s="213">
        <f>D96+E96</f>
        <v>107748</v>
      </c>
      <c r="D96" s="213"/>
      <c r="E96" s="213">
        <f>86748+21000</f>
        <v>107748</v>
      </c>
      <c r="F96" s="213"/>
    </row>
    <row r="97" spans="1:6" ht="47.25">
      <c r="A97" s="214">
        <v>25010400</v>
      </c>
      <c r="B97" s="215" t="s">
        <v>485</v>
      </c>
      <c r="C97" s="213">
        <f>D97+E97</f>
        <v>1800</v>
      </c>
      <c r="D97" s="213"/>
      <c r="E97" s="213">
        <v>1800</v>
      </c>
      <c r="F97" s="213"/>
    </row>
    <row r="98" spans="1:6" ht="15.75">
      <c r="A98" s="23">
        <v>30000000</v>
      </c>
      <c r="B98" s="212" t="s">
        <v>486</v>
      </c>
      <c r="C98" s="213">
        <f>D98+E98</f>
        <v>2744800</v>
      </c>
      <c r="D98" s="213">
        <f>D99+D104</f>
        <v>5800</v>
      </c>
      <c r="E98" s="213">
        <f>E99+E104</f>
        <v>2739000</v>
      </c>
      <c r="F98" s="213">
        <f>F99+F104</f>
        <v>2739000</v>
      </c>
    </row>
    <row r="99" spans="1:6" ht="15.75">
      <c r="A99" s="214">
        <v>31000000</v>
      </c>
      <c r="B99" s="215" t="s">
        <v>487</v>
      </c>
      <c r="C99" s="213">
        <f>D99+E99</f>
        <v>644800</v>
      </c>
      <c r="D99" s="213">
        <f>D100+D102+D103</f>
        <v>5800</v>
      </c>
      <c r="E99" s="213">
        <f>E100+E102+E103</f>
        <v>639000</v>
      </c>
      <c r="F99" s="213">
        <f>F100+F102+F103</f>
        <v>639000</v>
      </c>
    </row>
    <row r="100" spans="1:8" ht="114" customHeight="1">
      <c r="A100" s="214">
        <v>31010000</v>
      </c>
      <c r="B100" s="215" t="s">
        <v>488</v>
      </c>
      <c r="C100" s="213">
        <f>D100+E100</f>
        <v>4100</v>
      </c>
      <c r="D100" s="213">
        <f>D101+D103</f>
        <v>4100</v>
      </c>
      <c r="E100" s="213"/>
      <c r="F100" s="213"/>
      <c r="H100" s="216"/>
    </row>
    <row r="101" spans="1:6" ht="102" customHeight="1">
      <c r="A101" s="214">
        <v>31010200</v>
      </c>
      <c r="B101" s="215" t="s">
        <v>489</v>
      </c>
      <c r="C101" s="213">
        <f>D101+E101</f>
        <v>4100</v>
      </c>
      <c r="D101" s="213">
        <v>4100</v>
      </c>
      <c r="E101" s="213"/>
      <c r="F101" s="213"/>
    </row>
    <row r="102" spans="1:6" ht="54" customHeight="1">
      <c r="A102" s="214">
        <v>31020000</v>
      </c>
      <c r="B102" s="215" t="s">
        <v>490</v>
      </c>
      <c r="C102" s="213">
        <f>D102+E102</f>
        <v>1700</v>
      </c>
      <c r="D102" s="213">
        <v>1700</v>
      </c>
      <c r="E102" s="213"/>
      <c r="F102" s="213"/>
    </row>
    <row r="103" spans="1:6" ht="66" customHeight="1">
      <c r="A103" s="214">
        <v>31030000</v>
      </c>
      <c r="B103" s="215" t="s">
        <v>491</v>
      </c>
      <c r="C103" s="213">
        <f>D103+E103</f>
        <v>639000</v>
      </c>
      <c r="D103" s="213"/>
      <c r="E103" s="213">
        <f>F103</f>
        <v>639000</v>
      </c>
      <c r="F103" s="213">
        <v>639000</v>
      </c>
    </row>
    <row r="104" spans="1:6" ht="36" customHeight="1">
      <c r="A104" s="214">
        <v>33000000</v>
      </c>
      <c r="B104" s="215" t="s">
        <v>492</v>
      </c>
      <c r="C104" s="213">
        <f>D104+E104</f>
        <v>2100000</v>
      </c>
      <c r="D104" s="213"/>
      <c r="E104" s="213">
        <f>E105</f>
        <v>2100000</v>
      </c>
      <c r="F104" s="213">
        <f>F105</f>
        <v>2100000</v>
      </c>
    </row>
    <row r="105" spans="1:6" ht="15.75">
      <c r="A105" s="214">
        <v>33010000</v>
      </c>
      <c r="B105" s="215" t="s">
        <v>493</v>
      </c>
      <c r="C105" s="213">
        <f>D105+E105</f>
        <v>2100000</v>
      </c>
      <c r="D105" s="213"/>
      <c r="E105" s="213">
        <f>E106</f>
        <v>2100000</v>
      </c>
      <c r="F105" s="213">
        <f>F106</f>
        <v>2100000</v>
      </c>
    </row>
    <row r="106" spans="1:6" ht="94.5">
      <c r="A106" s="214">
        <v>33010100</v>
      </c>
      <c r="B106" s="215" t="s">
        <v>494</v>
      </c>
      <c r="C106" s="213">
        <f>D106+E106</f>
        <v>2100000</v>
      </c>
      <c r="D106" s="213"/>
      <c r="E106" s="213">
        <f>F106</f>
        <v>2100000</v>
      </c>
      <c r="F106" s="213">
        <v>2100000</v>
      </c>
    </row>
    <row r="107" spans="1:6" ht="37.5" customHeight="1">
      <c r="A107" s="23"/>
      <c r="B107" s="221" t="s">
        <v>495</v>
      </c>
      <c r="C107" s="222">
        <f>D107+E107</f>
        <v>389389358</v>
      </c>
      <c r="D107" s="222">
        <f>D21+D63+D98</f>
        <v>376345173</v>
      </c>
      <c r="E107" s="222">
        <f>E21+E63+E98</f>
        <v>13044185</v>
      </c>
      <c r="F107" s="222">
        <f>F21+F63+F98</f>
        <v>3429174</v>
      </c>
    </row>
    <row r="108" spans="1:6" ht="21" customHeight="1">
      <c r="A108" s="23">
        <v>40000000</v>
      </c>
      <c r="B108" s="212" t="s">
        <v>496</v>
      </c>
      <c r="C108" s="213">
        <f>D108+E108</f>
        <v>166465410.61</v>
      </c>
      <c r="D108" s="213">
        <f>D109</f>
        <v>165965410.61</v>
      </c>
      <c r="E108" s="213">
        <f>E109</f>
        <v>500000</v>
      </c>
      <c r="F108" s="213">
        <f>F109</f>
        <v>500000</v>
      </c>
    </row>
    <row r="109" spans="1:6" ht="21" customHeight="1">
      <c r="A109" s="214">
        <v>41000000</v>
      </c>
      <c r="B109" s="215" t="s">
        <v>497</v>
      </c>
      <c r="C109" s="213">
        <f>D109+E109</f>
        <v>166465410.61</v>
      </c>
      <c r="D109" s="213">
        <f>D110+D112+D116+D118</f>
        <v>165965410.61</v>
      </c>
      <c r="E109" s="213">
        <f>E110+E112+E116+E118</f>
        <v>500000</v>
      </c>
      <c r="F109" s="213">
        <f>F110+F112+F116+F118</f>
        <v>500000</v>
      </c>
    </row>
    <row r="110" spans="1:6" ht="39" customHeight="1">
      <c r="A110" s="214">
        <v>41020000</v>
      </c>
      <c r="B110" s="215" t="s">
        <v>498</v>
      </c>
      <c r="C110" s="213">
        <f>D110+E110</f>
        <v>15385300</v>
      </c>
      <c r="D110" s="213">
        <f>D111</f>
        <v>15385300</v>
      </c>
      <c r="E110" s="213"/>
      <c r="F110" s="213"/>
    </row>
    <row r="111" spans="1:6" ht="21.75" customHeight="1">
      <c r="A111" s="214">
        <v>41020100</v>
      </c>
      <c r="B111" s="215" t="s">
        <v>499</v>
      </c>
      <c r="C111" s="213">
        <f>D111+E111</f>
        <v>15385300</v>
      </c>
      <c r="D111" s="213">
        <v>15385300</v>
      </c>
      <c r="E111" s="213"/>
      <c r="F111" s="213"/>
    </row>
    <row r="112" spans="1:6" ht="35.25" customHeight="1">
      <c r="A112" s="214">
        <v>41030000</v>
      </c>
      <c r="B112" s="215" t="s">
        <v>500</v>
      </c>
      <c r="C112" s="213">
        <f>D112+E112</f>
        <v>130537700</v>
      </c>
      <c r="D112" s="213">
        <f>SUM(D113:D115)</f>
        <v>130537700</v>
      </c>
      <c r="E112" s="213"/>
      <c r="F112" s="213"/>
    </row>
    <row r="113" spans="1:6" ht="36" customHeight="1">
      <c r="A113" s="214">
        <v>41033900</v>
      </c>
      <c r="B113" s="24" t="s">
        <v>501</v>
      </c>
      <c r="C113" s="213">
        <f>D113+E113</f>
        <v>116245300</v>
      </c>
      <c r="D113" s="213">
        <f>94732600+19297400+2215300</f>
        <v>116245300</v>
      </c>
      <c r="E113" s="213"/>
      <c r="F113" s="213"/>
    </row>
    <row r="114" spans="1:6" ht="33.75" customHeight="1">
      <c r="A114" s="214">
        <v>41034200</v>
      </c>
      <c r="B114" s="24" t="s">
        <v>502</v>
      </c>
      <c r="C114" s="213">
        <f>D114+E114</f>
        <v>13792400</v>
      </c>
      <c r="D114" s="213">
        <v>13792400</v>
      </c>
      <c r="E114" s="213"/>
      <c r="F114" s="213"/>
    </row>
    <row r="115" spans="1:6" ht="70.5" customHeight="1">
      <c r="A115" s="214">
        <v>41034500</v>
      </c>
      <c r="B115" s="24" t="s">
        <v>521</v>
      </c>
      <c r="C115" s="213">
        <f>D115</f>
        <v>500000</v>
      </c>
      <c r="D115" s="213">
        <v>500000</v>
      </c>
      <c r="E115" s="213"/>
      <c r="F115" s="213"/>
    </row>
    <row r="116" spans="1:6" ht="37.5" customHeight="1">
      <c r="A116" s="214">
        <v>41040000</v>
      </c>
      <c r="B116" s="24" t="s">
        <v>503</v>
      </c>
      <c r="C116" s="213">
        <f>D116+E116</f>
        <v>2256800</v>
      </c>
      <c r="D116" s="213">
        <f>D117</f>
        <v>2256800</v>
      </c>
      <c r="E116" s="213"/>
      <c r="F116" s="213"/>
    </row>
    <row r="117" spans="1:6" ht="96" customHeight="1">
      <c r="A117" s="214">
        <v>41040200</v>
      </c>
      <c r="B117" s="24" t="s">
        <v>107</v>
      </c>
      <c r="C117" s="213">
        <f>D117+E117</f>
        <v>2256800</v>
      </c>
      <c r="D117" s="213">
        <f>1256800+1000000</f>
        <v>2256800</v>
      </c>
      <c r="E117" s="213"/>
      <c r="F117" s="213"/>
    </row>
    <row r="118" spans="1:9" ht="37.5" customHeight="1">
      <c r="A118" s="214">
        <v>41050000</v>
      </c>
      <c r="B118" s="24" t="s">
        <v>504</v>
      </c>
      <c r="C118" s="300">
        <f>D118+E118</f>
        <v>18285610.61</v>
      </c>
      <c r="D118" s="300">
        <f>SUM(D119:D129)</f>
        <v>17785610.61</v>
      </c>
      <c r="E118" s="213">
        <f>SUM(E120:E129)</f>
        <v>500000</v>
      </c>
      <c r="F118" s="213">
        <f>SUM(F120:F129)</f>
        <v>500000</v>
      </c>
      <c r="H118" s="301">
        <f>C116+C118</f>
        <v>20542410.61</v>
      </c>
      <c r="I118" s="223"/>
    </row>
    <row r="119" spans="1:9" ht="405" customHeight="1">
      <c r="A119" s="214">
        <v>41050600</v>
      </c>
      <c r="B119" s="24" t="s">
        <v>326</v>
      </c>
      <c r="C119" s="300">
        <f>D119+E119</f>
        <v>742363.61</v>
      </c>
      <c r="D119" s="300">
        <v>742363.61</v>
      </c>
      <c r="E119" s="213"/>
      <c r="F119" s="213"/>
      <c r="H119" s="216"/>
      <c r="I119" s="223"/>
    </row>
    <row r="120" spans="1:6" ht="69" customHeight="1">
      <c r="A120" s="214">
        <v>41051000</v>
      </c>
      <c r="B120" s="24" t="s">
        <v>108</v>
      </c>
      <c r="C120" s="213">
        <f>D120+E120</f>
        <v>844767</v>
      </c>
      <c r="D120" s="213">
        <v>844767</v>
      </c>
      <c r="E120" s="213"/>
      <c r="F120" s="213"/>
    </row>
    <row r="121" spans="1:6" ht="69" customHeight="1">
      <c r="A121" s="214">
        <v>41051100</v>
      </c>
      <c r="B121" s="24" t="s">
        <v>505</v>
      </c>
      <c r="C121" s="213">
        <f>D121+E121</f>
        <v>812944</v>
      </c>
      <c r="D121" s="213">
        <f>243600+569344</f>
        <v>812944</v>
      </c>
      <c r="E121" s="213"/>
      <c r="F121" s="213"/>
    </row>
    <row r="122" spans="1:6" ht="88.5" customHeight="1">
      <c r="A122" s="214">
        <v>41051200</v>
      </c>
      <c r="B122" s="24" t="s">
        <v>506</v>
      </c>
      <c r="C122" s="213">
        <f>D122+E122</f>
        <v>936531</v>
      </c>
      <c r="D122" s="213">
        <f>279900+233250-44583+467964</f>
        <v>936531</v>
      </c>
      <c r="E122" s="213"/>
      <c r="F122" s="213"/>
    </row>
    <row r="123" spans="1:6" ht="97.5" customHeight="1">
      <c r="A123" s="214">
        <v>41051400</v>
      </c>
      <c r="B123" s="24" t="s">
        <v>760</v>
      </c>
      <c r="C123" s="213">
        <f>D123+E123</f>
        <v>2784765</v>
      </c>
      <c r="D123" s="213">
        <f>2056740+2418-328856+1054463</f>
        <v>2784765</v>
      </c>
      <c r="E123" s="213"/>
      <c r="F123" s="213"/>
    </row>
    <row r="124" spans="1:6" ht="69" customHeight="1">
      <c r="A124" s="214">
        <v>41051500</v>
      </c>
      <c r="B124" s="24" t="s">
        <v>507</v>
      </c>
      <c r="C124" s="213">
        <f>D124+E124</f>
        <v>432000</v>
      </c>
      <c r="D124" s="213">
        <v>432000</v>
      </c>
      <c r="E124" s="213"/>
      <c r="F124" s="213"/>
    </row>
    <row r="125" spans="1:6" ht="101.25" customHeight="1">
      <c r="A125" s="214">
        <v>41053000</v>
      </c>
      <c r="B125" s="24" t="s">
        <v>610</v>
      </c>
      <c r="C125" s="213">
        <f>D125+E125</f>
        <v>4049630</v>
      </c>
      <c r="D125" s="213">
        <v>4049630</v>
      </c>
      <c r="E125" s="213"/>
      <c r="F125" s="213"/>
    </row>
    <row r="126" spans="1:6" ht="21.75" customHeight="1">
      <c r="A126" s="214">
        <v>41053900</v>
      </c>
      <c r="B126" s="24" t="s">
        <v>508</v>
      </c>
      <c r="C126" s="213">
        <f>D126+E126</f>
        <v>647000</v>
      </c>
      <c r="D126" s="213">
        <f>147000+500000-500000</f>
        <v>147000</v>
      </c>
      <c r="E126" s="213">
        <f>F126</f>
        <v>500000</v>
      </c>
      <c r="F126" s="213">
        <v>500000</v>
      </c>
    </row>
    <row r="127" spans="1:6" s="242" customFormat="1" ht="63">
      <c r="A127" s="214">
        <v>41054900</v>
      </c>
      <c r="B127" s="241" t="s">
        <v>574</v>
      </c>
      <c r="C127" s="213">
        <f>D127+E127</f>
        <v>935007</v>
      </c>
      <c r="D127" s="213">
        <v>935007</v>
      </c>
      <c r="E127" s="213"/>
      <c r="F127" s="213"/>
    </row>
    <row r="128" spans="1:6" ht="63">
      <c r="A128" s="214">
        <v>41055000</v>
      </c>
      <c r="B128" s="24" t="s">
        <v>509</v>
      </c>
      <c r="C128" s="213">
        <f>D128+E128</f>
        <v>2123568</v>
      </c>
      <c r="D128" s="213">
        <f>1402800+720768</f>
        <v>2123568</v>
      </c>
      <c r="E128" s="213"/>
      <c r="F128" s="213"/>
    </row>
    <row r="129" spans="1:6" ht="126">
      <c r="A129" s="214">
        <v>41055200</v>
      </c>
      <c r="B129" s="24" t="s">
        <v>556</v>
      </c>
      <c r="C129" s="213">
        <f>D129+E129</f>
        <v>3977035</v>
      </c>
      <c r="D129" s="213">
        <f>407035+3570000</f>
        <v>3977035</v>
      </c>
      <c r="E129" s="213"/>
      <c r="F129" s="213"/>
    </row>
    <row r="130" spans="1:6" ht="18.75">
      <c r="A130" s="224" t="s">
        <v>184</v>
      </c>
      <c r="B130" s="225" t="s">
        <v>510</v>
      </c>
      <c r="C130" s="313">
        <f>D130+E130</f>
        <v>555854768.61</v>
      </c>
      <c r="D130" s="313">
        <f>D107+D108</f>
        <v>542310583.61</v>
      </c>
      <c r="E130" s="226">
        <f>E107+E108</f>
        <v>13544185</v>
      </c>
      <c r="F130" s="226">
        <f>F107+F108</f>
        <v>3929174</v>
      </c>
    </row>
    <row r="135" spans="2:6" ht="15.75">
      <c r="B135" s="19"/>
      <c r="C135" s="19"/>
      <c r="D135" s="19"/>
      <c r="E135" s="19"/>
      <c r="F135" s="19"/>
    </row>
    <row r="136" spans="1:5" ht="18.75">
      <c r="A136" s="27"/>
      <c r="B136" s="27"/>
      <c r="C136" s="27"/>
      <c r="D136" s="28"/>
      <c r="E136" s="27"/>
    </row>
  </sheetData>
  <sheetProtection/>
  <mergeCells count="8">
    <mergeCell ref="E18:F18"/>
    <mergeCell ref="A1:A11"/>
    <mergeCell ref="D10:F10"/>
    <mergeCell ref="B13:E13"/>
    <mergeCell ref="A18:A19"/>
    <mergeCell ref="B18:B19"/>
    <mergeCell ref="C18:C19"/>
    <mergeCell ref="D18:D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6.125" style="0" customWidth="1"/>
    <col min="4" max="5" width="21.375" style="0" customWidth="1"/>
    <col min="6" max="6" width="20.25390625" style="0" customWidth="1"/>
  </cols>
  <sheetData>
    <row r="1" ht="15">
      <c r="E1" s="4" t="s">
        <v>332</v>
      </c>
    </row>
    <row r="2" ht="15">
      <c r="E2" s="4" t="s">
        <v>119</v>
      </c>
    </row>
    <row r="3" ht="15">
      <c r="E3" s="4" t="s">
        <v>337</v>
      </c>
    </row>
    <row r="4" ht="15">
      <c r="E4" s="4" t="s">
        <v>183</v>
      </c>
    </row>
    <row r="5" spans="5:7" ht="15">
      <c r="E5" s="46" t="s">
        <v>333</v>
      </c>
      <c r="G5" s="2"/>
    </row>
    <row r="6" ht="15">
      <c r="E6" s="4" t="s">
        <v>338</v>
      </c>
    </row>
    <row r="7" ht="15">
      <c r="E7" s="4" t="s">
        <v>335</v>
      </c>
    </row>
    <row r="8" ht="14.25">
      <c r="F8" s="45"/>
    </row>
    <row r="10" spans="1:6" ht="18.75">
      <c r="A10" s="366" t="s">
        <v>134</v>
      </c>
      <c r="B10" s="366"/>
      <c r="C10" s="366"/>
      <c r="D10" s="366"/>
      <c r="E10" s="366"/>
      <c r="F10" s="366"/>
    </row>
    <row r="11" spans="1:6" ht="15.75">
      <c r="A11" s="16"/>
      <c r="B11" s="16"/>
      <c r="C11" s="16"/>
      <c r="D11" s="16"/>
      <c r="E11" s="16"/>
      <c r="F11" s="16"/>
    </row>
    <row r="12" spans="1:6" ht="15.75">
      <c r="A12" s="86" t="s">
        <v>619</v>
      </c>
      <c r="B12" s="16"/>
      <c r="C12" s="16"/>
      <c r="D12" s="16"/>
      <c r="E12" s="16"/>
      <c r="F12" s="16"/>
    </row>
    <row r="13" ht="12.75">
      <c r="A13" s="1" t="s">
        <v>644</v>
      </c>
    </row>
    <row r="14" spans="1:6" ht="12.75">
      <c r="A14" s="5"/>
      <c r="F14" s="6" t="s">
        <v>624</v>
      </c>
    </row>
    <row r="15" ht="13.5" thickBot="1"/>
    <row r="16" spans="1:6" ht="26.25" customHeight="1" thickBot="1">
      <c r="A16" s="367" t="s">
        <v>625</v>
      </c>
      <c r="B16" s="367" t="s">
        <v>645</v>
      </c>
      <c r="C16" s="367" t="s">
        <v>626</v>
      </c>
      <c r="D16" s="367" t="s">
        <v>627</v>
      </c>
      <c r="E16" s="372" t="s">
        <v>628</v>
      </c>
      <c r="F16" s="373"/>
    </row>
    <row r="17" spans="1:6" ht="39" customHeight="1" thickBot="1">
      <c r="A17" s="368"/>
      <c r="B17" s="368"/>
      <c r="C17" s="368"/>
      <c r="D17" s="368"/>
      <c r="E17" s="3" t="s">
        <v>629</v>
      </c>
      <c r="F17" s="3" t="s">
        <v>630</v>
      </c>
    </row>
    <row r="18" spans="1:6" ht="16.5" thickBot="1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</row>
    <row r="19" spans="1:6" ht="16.5" customHeight="1">
      <c r="A19" s="374" t="s">
        <v>631</v>
      </c>
      <c r="B19" s="375"/>
      <c r="C19" s="376"/>
      <c r="D19" s="376"/>
      <c r="E19" s="376"/>
      <c r="F19" s="377"/>
    </row>
    <row r="20" spans="1:6" ht="15.75">
      <c r="A20" s="18">
        <v>200000</v>
      </c>
      <c r="B20" s="19" t="s">
        <v>102</v>
      </c>
      <c r="C20" s="22">
        <f>D20+E20</f>
        <v>24699698</v>
      </c>
      <c r="D20" s="303">
        <f>D21</f>
        <v>-32692534.61</v>
      </c>
      <c r="E20" s="303">
        <f>E21</f>
        <v>57392232.61</v>
      </c>
      <c r="F20" s="303">
        <f>F21</f>
        <v>56678274.61</v>
      </c>
    </row>
    <row r="21" spans="1:6" ht="31.5">
      <c r="A21" s="20">
        <v>208000</v>
      </c>
      <c r="B21" s="21" t="s">
        <v>103</v>
      </c>
      <c r="C21" s="22">
        <f>D21+E21</f>
        <v>24699698</v>
      </c>
      <c r="D21" s="304">
        <f>D23+D22</f>
        <v>-32692534.61</v>
      </c>
      <c r="E21" s="304">
        <f>E23+E22</f>
        <v>57392232.61</v>
      </c>
      <c r="F21" s="304">
        <f>F23+F22</f>
        <v>56678274.61</v>
      </c>
    </row>
    <row r="22" spans="1:6" ht="15.75">
      <c r="A22" s="20">
        <v>208100</v>
      </c>
      <c r="B22" s="21" t="s">
        <v>180</v>
      </c>
      <c r="C22" s="22">
        <f>D22+E22</f>
        <v>24699698</v>
      </c>
      <c r="D22" s="318">
        <f>16262108+2345200+654823+2775</f>
        <v>19264906</v>
      </c>
      <c r="E22" s="318">
        <v>5434792</v>
      </c>
      <c r="F22" s="318">
        <v>4720834</v>
      </c>
    </row>
    <row r="23" spans="1:6" ht="35.25" customHeight="1">
      <c r="A23" s="20">
        <v>208400</v>
      </c>
      <c r="B23" s="21" t="s">
        <v>104</v>
      </c>
      <c r="C23" s="22"/>
      <c r="D23" s="302">
        <f>-35917919-9547267-945200-640437-15300+5204771-40000-18846+797713+748994-791125+454856-1301552-1326364+500000-708269+174825-1000000-618612-1179363-16000-1353244-250000+19712-3450000-9950+13500-742363.61</f>
        <v>-51957440.61</v>
      </c>
      <c r="E23" s="302">
        <f>F23</f>
        <v>51957440.61</v>
      </c>
      <c r="F23" s="302">
        <f>35917919+9547267+945200+640437+15300-5204771+40000+18846-797713-748994+791125-454856+1301552+1326364-500000+708269-174825+1000000+618612+1179363+16000+1353244+250000-19712+3450000+9950-13500+742363.61</f>
        <v>51957440.61</v>
      </c>
    </row>
    <row r="24" spans="1:6" ht="16.5" customHeight="1">
      <c r="A24" s="305" t="s">
        <v>643</v>
      </c>
      <c r="B24" s="306" t="s">
        <v>632</v>
      </c>
      <c r="C24" s="317">
        <f>D24+E24</f>
        <v>24699698</v>
      </c>
      <c r="D24" s="307">
        <f>D20</f>
        <v>-32692534.61</v>
      </c>
      <c r="E24" s="307">
        <f>E20</f>
        <v>57392232.61</v>
      </c>
      <c r="F24" s="307">
        <f>F20</f>
        <v>56678274.61</v>
      </c>
    </row>
    <row r="25" spans="1:6" ht="13.5">
      <c r="A25" s="369" t="s">
        <v>105</v>
      </c>
      <c r="B25" s="370"/>
      <c r="C25" s="370"/>
      <c r="D25" s="370"/>
      <c r="E25" s="370"/>
      <c r="F25" s="371"/>
    </row>
    <row r="26" spans="1:6" ht="15.75">
      <c r="A26" s="341">
        <v>600000</v>
      </c>
      <c r="B26" s="308" t="s">
        <v>633</v>
      </c>
      <c r="C26" s="22">
        <f>D26+E26</f>
        <v>24699698</v>
      </c>
      <c r="D26" s="303">
        <f>D27</f>
        <v>-32692534.61</v>
      </c>
      <c r="E26" s="303">
        <f>E27</f>
        <v>57392232.61</v>
      </c>
      <c r="F26" s="303">
        <f>F27</f>
        <v>56678274.61</v>
      </c>
    </row>
    <row r="27" spans="1:6" ht="15.75">
      <c r="A27" s="341">
        <v>602000</v>
      </c>
      <c r="B27" s="308" t="s">
        <v>106</v>
      </c>
      <c r="C27" s="22">
        <f>D27+E27</f>
        <v>24699698</v>
      </c>
      <c r="D27" s="304">
        <f>D29+D28</f>
        <v>-32692534.61</v>
      </c>
      <c r="E27" s="304">
        <f>E29+E28</f>
        <v>57392232.61</v>
      </c>
      <c r="F27" s="304">
        <f>F29+F28</f>
        <v>56678274.61</v>
      </c>
    </row>
    <row r="28" spans="1:6" ht="15.75">
      <c r="A28" s="341">
        <v>602100</v>
      </c>
      <c r="B28" s="308" t="s">
        <v>180</v>
      </c>
      <c r="C28" s="22">
        <f>D28+E28</f>
        <v>24699698</v>
      </c>
      <c r="D28" s="318">
        <f>16262108+2345200+654823+2775</f>
        <v>19264906</v>
      </c>
      <c r="E28" s="318">
        <v>5434792</v>
      </c>
      <c r="F28" s="318">
        <v>4720834</v>
      </c>
    </row>
    <row r="29" spans="1:6" ht="30" customHeight="1">
      <c r="A29" s="341">
        <v>602400</v>
      </c>
      <c r="B29" s="308" t="s">
        <v>104</v>
      </c>
      <c r="C29" s="22"/>
      <c r="D29" s="304">
        <f>-35917919-9547267-945200-640437-15300+5204771-40000-18846+797713+748994-791125+454856-1301552-1326364+500000-708269+174825-1000000-618612-1179363-16000-1353244-250000+19712-3450000-9950+13500-742363.61</f>
        <v>-51957440.61</v>
      </c>
      <c r="E29" s="304">
        <f>F29</f>
        <v>51957440.61</v>
      </c>
      <c r="F29" s="304">
        <f>35917919+9547267+945200+640437+15300-5204771+40000+18846-797713-748994+791125-454856+1301552+1326364-500000+708269-174825+1000000+618612+1179363+16000+1353244+250000-19712+3450000+9950-13500+742363.61</f>
        <v>51957440.61</v>
      </c>
    </row>
    <row r="30" spans="1:6" ht="15.75">
      <c r="A30" s="305" t="s">
        <v>643</v>
      </c>
      <c r="B30" s="306" t="s">
        <v>632</v>
      </c>
      <c r="C30" s="317">
        <f>D30+E30</f>
        <v>24699698</v>
      </c>
      <c r="D30" s="307">
        <f>D26</f>
        <v>-32692534.61</v>
      </c>
      <c r="E30" s="307">
        <f>E26</f>
        <v>57392232.61</v>
      </c>
      <c r="F30" s="307">
        <f>F26</f>
        <v>56678274.61</v>
      </c>
    </row>
    <row r="34" spans="1:5" ht="18.75">
      <c r="A34" s="27"/>
      <c r="B34" s="27"/>
      <c r="C34" s="27"/>
      <c r="D34" s="28"/>
      <c r="E34" s="27"/>
    </row>
  </sheetData>
  <sheetProtection/>
  <mergeCells count="8">
    <mergeCell ref="A10:F10"/>
    <mergeCell ref="B16:B17"/>
    <mergeCell ref="A25:F25"/>
    <mergeCell ref="E16:F16"/>
    <mergeCell ref="A19:F19"/>
    <mergeCell ref="A16:A17"/>
    <mergeCell ref="C16:C17"/>
    <mergeCell ref="D16:D17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35"/>
  <sheetViews>
    <sheetView showZeros="0" showOutlineSymbols="0" zoomScale="70" zoomScaleNormal="70" zoomScalePageLayoutView="0" workbookViewId="0" topLeftCell="K2">
      <selection activeCell="P5" sqref="P5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22.00390625" style="10" bestFit="1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9.625" style="10" bestFit="1" customWidth="1"/>
    <col min="16" max="16" width="30.75390625" style="10" customWidth="1"/>
    <col min="17" max="17" width="9.125" style="8" customWidth="1"/>
    <col min="18" max="18" width="10.75390625" style="8" bestFit="1" customWidth="1"/>
    <col min="19" max="16384" width="9.125" style="8" customWidth="1"/>
  </cols>
  <sheetData>
    <row r="1" ht="23.25" hidden="1"/>
    <row r="2" spans="1:16" ht="27.75">
      <c r="A2" s="378"/>
      <c r="B2" s="7"/>
      <c r="I2" s="11"/>
      <c r="K2" s="26"/>
      <c r="L2" s="26"/>
      <c r="M2" s="26"/>
      <c r="O2" s="38"/>
      <c r="P2" s="38"/>
    </row>
    <row r="3" spans="1:16" ht="27.75">
      <c r="A3" s="378"/>
      <c r="B3" s="7"/>
      <c r="I3" s="11"/>
      <c r="K3" s="26"/>
      <c r="L3" s="26"/>
      <c r="M3" s="26"/>
      <c r="O3" s="38" t="s">
        <v>332</v>
      </c>
      <c r="P3" s="38"/>
    </row>
    <row r="4" spans="1:16" ht="27.75">
      <c r="A4" s="378"/>
      <c r="B4" s="7"/>
      <c r="I4" s="11"/>
      <c r="K4" s="26"/>
      <c r="L4" s="26"/>
      <c r="M4" s="26"/>
      <c r="O4" s="38" t="s">
        <v>119</v>
      </c>
      <c r="P4" s="38"/>
    </row>
    <row r="5" spans="1:16" ht="27.75">
      <c r="A5" s="378"/>
      <c r="B5" s="7"/>
      <c r="I5" s="11"/>
      <c r="K5" s="26"/>
      <c r="L5" s="26"/>
      <c r="M5" s="26"/>
      <c r="O5" s="38" t="s">
        <v>339</v>
      </c>
      <c r="P5" s="38"/>
    </row>
    <row r="6" spans="1:16" ht="27.75">
      <c r="A6" s="378"/>
      <c r="B6" s="7"/>
      <c r="I6" s="11"/>
      <c r="K6" s="26"/>
      <c r="L6" s="26"/>
      <c r="M6" s="26"/>
      <c r="O6" s="38" t="s">
        <v>634</v>
      </c>
      <c r="P6" s="38"/>
    </row>
    <row r="7" spans="1:16" ht="27" customHeight="1">
      <c r="A7" s="378"/>
      <c r="B7" s="7"/>
      <c r="I7" s="11"/>
      <c r="K7" s="26"/>
      <c r="L7" s="26"/>
      <c r="M7" s="26"/>
      <c r="O7" s="38" t="s">
        <v>333</v>
      </c>
      <c r="P7" s="38"/>
    </row>
    <row r="8" spans="1:16" ht="27" customHeight="1">
      <c r="A8" s="378"/>
      <c r="B8" s="7"/>
      <c r="I8" s="11"/>
      <c r="K8" s="26"/>
      <c r="L8" s="26"/>
      <c r="M8" s="26"/>
      <c r="O8" s="39" t="s">
        <v>338</v>
      </c>
      <c r="P8" s="39"/>
    </row>
    <row r="9" spans="10:16" ht="27" customHeight="1">
      <c r="J9" s="8"/>
      <c r="K9" s="26"/>
      <c r="L9" s="26"/>
      <c r="M9" s="26"/>
      <c r="N9" s="8"/>
      <c r="O9" s="39" t="s">
        <v>335</v>
      </c>
      <c r="P9" s="39"/>
    </row>
    <row r="10" spans="10:16" ht="23.25" hidden="1">
      <c r="J10" s="4"/>
      <c r="K10" s="12"/>
      <c r="L10" s="12"/>
      <c r="M10" s="12"/>
      <c r="N10" s="12"/>
      <c r="O10" s="12"/>
      <c r="P10" s="12"/>
    </row>
    <row r="11" spans="10:16" ht="23.25">
      <c r="J11" s="4"/>
      <c r="K11" s="12"/>
      <c r="L11" s="12"/>
      <c r="M11" s="12"/>
      <c r="N11" s="12"/>
      <c r="O11" s="12"/>
      <c r="P11" s="12"/>
    </row>
    <row r="12" spans="1:16" s="27" customFormat="1" ht="27">
      <c r="A12" s="351" t="s">
        <v>135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</row>
    <row r="13" spans="1:16" ht="20.25">
      <c r="A13" s="85">
        <v>21528000000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ht="16.5" customHeight="1">
      <c r="A14" s="9" t="s">
        <v>644</v>
      </c>
    </row>
    <row r="15" spans="11:16" ht="23.25">
      <c r="K15" s="244"/>
      <c r="P15" s="13" t="s">
        <v>624</v>
      </c>
    </row>
    <row r="16" spans="1:16" ht="71.25" customHeight="1">
      <c r="A16" s="379" t="s">
        <v>646</v>
      </c>
      <c r="B16" s="381" t="s">
        <v>647</v>
      </c>
      <c r="C16" s="381" t="s">
        <v>635</v>
      </c>
      <c r="D16" s="381" t="s">
        <v>648</v>
      </c>
      <c r="E16" s="344" t="s">
        <v>627</v>
      </c>
      <c r="F16" s="345"/>
      <c r="G16" s="345"/>
      <c r="H16" s="345"/>
      <c r="I16" s="346"/>
      <c r="J16" s="344" t="s">
        <v>628</v>
      </c>
      <c r="K16" s="345"/>
      <c r="L16" s="345"/>
      <c r="M16" s="345"/>
      <c r="N16" s="345"/>
      <c r="O16" s="346"/>
      <c r="P16" s="383" t="s">
        <v>636</v>
      </c>
    </row>
    <row r="17" spans="1:16" ht="13.5" thickBot="1">
      <c r="A17" s="380"/>
      <c r="B17" s="382"/>
      <c r="C17" s="382"/>
      <c r="D17" s="382"/>
      <c r="E17" s="347"/>
      <c r="F17" s="348"/>
      <c r="G17" s="348"/>
      <c r="H17" s="348"/>
      <c r="I17" s="349"/>
      <c r="J17" s="347"/>
      <c r="K17" s="348"/>
      <c r="L17" s="348"/>
      <c r="M17" s="348"/>
      <c r="N17" s="348"/>
      <c r="O17" s="349"/>
      <c r="P17" s="384"/>
    </row>
    <row r="18" spans="1:16" ht="36" customHeight="1" thickBot="1">
      <c r="A18" s="380"/>
      <c r="B18" s="382"/>
      <c r="C18" s="382"/>
      <c r="D18" s="382"/>
      <c r="E18" s="387" t="s">
        <v>629</v>
      </c>
      <c r="F18" s="387" t="s">
        <v>637</v>
      </c>
      <c r="G18" s="385" t="s">
        <v>638</v>
      </c>
      <c r="H18" s="386"/>
      <c r="I18" s="387" t="s">
        <v>639</v>
      </c>
      <c r="J18" s="387" t="s">
        <v>629</v>
      </c>
      <c r="K18" s="387" t="s">
        <v>630</v>
      </c>
      <c r="L18" s="387" t="s">
        <v>637</v>
      </c>
      <c r="M18" s="385" t="s">
        <v>638</v>
      </c>
      <c r="N18" s="386"/>
      <c r="O18" s="387" t="s">
        <v>639</v>
      </c>
      <c r="P18" s="384"/>
    </row>
    <row r="19" spans="1:16" ht="65.25" customHeight="1" thickBot="1">
      <c r="A19" s="380"/>
      <c r="B19" s="382"/>
      <c r="C19" s="382"/>
      <c r="D19" s="382"/>
      <c r="E19" s="343"/>
      <c r="F19" s="343"/>
      <c r="G19" s="47" t="s">
        <v>640</v>
      </c>
      <c r="H19" s="47" t="s">
        <v>641</v>
      </c>
      <c r="I19" s="343"/>
      <c r="J19" s="343"/>
      <c r="K19" s="343"/>
      <c r="L19" s="343"/>
      <c r="M19" s="47" t="s">
        <v>640</v>
      </c>
      <c r="N19" s="47" t="s">
        <v>641</v>
      </c>
      <c r="O19" s="343"/>
      <c r="P19" s="384"/>
    </row>
    <row r="20" spans="1:16" s="19" customFormat="1" ht="19.5" thickBot="1">
      <c r="A20" s="78">
        <v>1</v>
      </c>
      <c r="B20" s="79">
        <v>2</v>
      </c>
      <c r="C20" s="79">
        <v>3</v>
      </c>
      <c r="D20" s="79">
        <v>4</v>
      </c>
      <c r="E20" s="79">
        <v>5</v>
      </c>
      <c r="F20" s="79">
        <v>6</v>
      </c>
      <c r="G20" s="79">
        <v>7</v>
      </c>
      <c r="H20" s="79">
        <v>8</v>
      </c>
      <c r="I20" s="79">
        <v>9</v>
      </c>
      <c r="J20" s="79">
        <v>10</v>
      </c>
      <c r="K20" s="79">
        <v>11</v>
      </c>
      <c r="L20" s="79">
        <v>12</v>
      </c>
      <c r="M20" s="79">
        <v>13</v>
      </c>
      <c r="N20" s="79">
        <v>14</v>
      </c>
      <c r="O20" s="79">
        <v>15</v>
      </c>
      <c r="P20" s="80">
        <v>16</v>
      </c>
    </row>
    <row r="21" spans="1:16" s="15" customFormat="1" ht="69.75">
      <c r="A21" s="69" t="s">
        <v>649</v>
      </c>
      <c r="B21" s="69"/>
      <c r="C21" s="69"/>
      <c r="D21" s="48" t="s">
        <v>650</v>
      </c>
      <c r="E21" s="260">
        <f>E22</f>
        <v>135780301</v>
      </c>
      <c r="F21" s="260">
        <f aca="true" t="shared" si="0" ref="F21:O21">F22</f>
        <v>135780301</v>
      </c>
      <c r="G21" s="260">
        <f t="shared" si="0"/>
        <v>22827498</v>
      </c>
      <c r="H21" s="260">
        <f t="shared" si="0"/>
        <v>1041169</v>
      </c>
      <c r="I21" s="260">
        <f t="shared" si="0"/>
        <v>0</v>
      </c>
      <c r="J21" s="260">
        <f t="shared" si="0"/>
        <v>34658712</v>
      </c>
      <c r="K21" s="260">
        <f t="shared" si="0"/>
        <v>33668754</v>
      </c>
      <c r="L21" s="260">
        <f t="shared" si="0"/>
        <v>709958</v>
      </c>
      <c r="M21" s="260">
        <f t="shared" si="0"/>
        <v>18300</v>
      </c>
      <c r="N21" s="260">
        <f t="shared" si="0"/>
        <v>12590</v>
      </c>
      <c r="O21" s="260">
        <f t="shared" si="0"/>
        <v>33948754</v>
      </c>
      <c r="P21" s="260">
        <f>E21+J21</f>
        <v>170439013</v>
      </c>
    </row>
    <row r="22" spans="1:16" s="15" customFormat="1" ht="76.5" customHeight="1">
      <c r="A22" s="70" t="s">
        <v>651</v>
      </c>
      <c r="B22" s="70"/>
      <c r="C22" s="70"/>
      <c r="D22" s="49" t="s">
        <v>650</v>
      </c>
      <c r="E22" s="261">
        <f>E23+E27+E30+E38+E39+E40+E46+E47+E48+E49+E50+E51+E53+E54+E55+E56+E57+E58+E59+E60+E62+E63+E65+E67+E68+E69+E70+E71+E72+E73+E74+E66+E29</f>
        <v>135780301</v>
      </c>
      <c r="F22" s="261">
        <f>F23+F27+F30+F38+F39+F40+F46+F47+F48+F49+F50+F51+F53+F54+F55+F56+F57+F58+F59+F60+F62+F63+F65+F67+F68+F69+F70+F71+F72+F73+F74+F66+F29</f>
        <v>135780301</v>
      </c>
      <c r="G22" s="261">
        <f>G23+G27+G30+G38+G39+G40+G46+G47+G48+G49+G50+G51+G53+G54+G55+G56+G57+G58+G59+G60+G62+G63+G65+G67+G68+G69+G70+G71+G72+G73+G74+G66+G29</f>
        <v>22827498</v>
      </c>
      <c r="H22" s="261">
        <f>H23+H27+H30+H38+H39+H40+H46+H47+H48+H49+H50+H51+H53+H54+H55+H56+H57+H58+H59+H60+H62+H63+H65+H67+H68+H69+H70+H71+H72+H73+H74+H66+H29</f>
        <v>1041169</v>
      </c>
      <c r="I22" s="261">
        <f>I23+I27+I30+I38+I39+I40+I46+I47+I48+I49+I50+I51+I53+I54+I55+I56+I57+I58+I59+I60+I62+I63+I65+I67+I68+I69+I70+I71+I72+I73+I74+I66</f>
        <v>0</v>
      </c>
      <c r="J22" s="261">
        <f aca="true" t="shared" si="1" ref="J22:O22">J23+J27+J30+J38+J39+J40+J46+J47+J48+J49+J50+J51+J53+J54+J55+J56+J57+J58+J59+J60+J62+J63+J65+J67+J68+J69+J70+J71+J72+J73+J74+J66+J64+J61</f>
        <v>34658712</v>
      </c>
      <c r="K22" s="261">
        <f t="shared" si="1"/>
        <v>33668754</v>
      </c>
      <c r="L22" s="261">
        <f t="shared" si="1"/>
        <v>709958</v>
      </c>
      <c r="M22" s="261">
        <f t="shared" si="1"/>
        <v>18300</v>
      </c>
      <c r="N22" s="261">
        <f t="shared" si="1"/>
        <v>12590</v>
      </c>
      <c r="O22" s="261">
        <f t="shared" si="1"/>
        <v>33948754</v>
      </c>
      <c r="P22" s="261">
        <f aca="true" t="shared" si="2" ref="P22:P115">E22+J22</f>
        <v>170439013</v>
      </c>
    </row>
    <row r="23" spans="1:18" ht="230.25" customHeight="1">
      <c r="A23" s="71" t="s">
        <v>652</v>
      </c>
      <c r="B23" s="71" t="s">
        <v>653</v>
      </c>
      <c r="C23" s="71" t="s">
        <v>654</v>
      </c>
      <c r="D23" s="50" t="s">
        <v>655</v>
      </c>
      <c r="E23" s="262">
        <f>F23</f>
        <v>23535545</v>
      </c>
      <c r="F23" s="262">
        <f>F25+F26</f>
        <v>23535545</v>
      </c>
      <c r="G23" s="262">
        <f aca="true" t="shared" si="3" ref="G23:N23">G25+G26</f>
        <v>20503964</v>
      </c>
      <c r="H23" s="262">
        <f t="shared" si="3"/>
        <v>977510</v>
      </c>
      <c r="I23" s="262">
        <f t="shared" si="3"/>
        <v>0</v>
      </c>
      <c r="J23" s="262">
        <f>L23+O23</f>
        <v>238410</v>
      </c>
      <c r="K23" s="263">
        <f>K25+K26</f>
        <v>230410</v>
      </c>
      <c r="L23" s="262">
        <f t="shared" si="3"/>
        <v>8000</v>
      </c>
      <c r="M23" s="262">
        <f t="shared" si="3"/>
        <v>0</v>
      </c>
      <c r="N23" s="262">
        <f t="shared" si="3"/>
        <v>0</v>
      </c>
      <c r="O23" s="262">
        <f>K23</f>
        <v>230410</v>
      </c>
      <c r="P23" s="263">
        <f t="shared" si="2"/>
        <v>23773955</v>
      </c>
      <c r="R23" s="239"/>
    </row>
    <row r="24" spans="1:16" ht="29.25" hidden="1">
      <c r="A24" s="71"/>
      <c r="B24" s="71"/>
      <c r="C24" s="71"/>
      <c r="D24" s="50" t="s">
        <v>656</v>
      </c>
      <c r="E24" s="263"/>
      <c r="F24" s="263"/>
      <c r="G24" s="263"/>
      <c r="H24" s="263"/>
      <c r="I24" s="263"/>
      <c r="J24" s="262">
        <f aca="true" t="shared" si="4" ref="J24:J118">L24+O24</f>
        <v>0</v>
      </c>
      <c r="K24" s="263"/>
      <c r="L24" s="263"/>
      <c r="M24" s="263"/>
      <c r="N24" s="263"/>
      <c r="O24" s="262">
        <f aca="true" t="shared" si="5" ref="O24:O118">K24</f>
        <v>0</v>
      </c>
      <c r="P24" s="263">
        <f t="shared" si="2"/>
        <v>0</v>
      </c>
    </row>
    <row r="25" spans="1:16" ht="72" hidden="1">
      <c r="A25" s="71"/>
      <c r="B25" s="71"/>
      <c r="C25" s="71"/>
      <c r="D25" s="51" t="s">
        <v>657</v>
      </c>
      <c r="E25" s="263">
        <f>F25</f>
        <v>21631328</v>
      </c>
      <c r="F25" s="263">
        <f>19539476+834905+198326+43515+157990+71594+62000+99942+27791+49900+549589+2800-6500</f>
        <v>21631328</v>
      </c>
      <c r="G25" s="263">
        <f>17654353+834905+549589</f>
        <v>19038847</v>
      </c>
      <c r="H25" s="263">
        <v>710923</v>
      </c>
      <c r="I25" s="263"/>
      <c r="J25" s="262">
        <f t="shared" si="4"/>
        <v>230410</v>
      </c>
      <c r="K25" s="263">
        <f>180650+9760+40000</f>
        <v>230410</v>
      </c>
      <c r="L25" s="263"/>
      <c r="M25" s="263"/>
      <c r="N25" s="263"/>
      <c r="O25" s="262">
        <f t="shared" si="5"/>
        <v>230410</v>
      </c>
      <c r="P25" s="263">
        <f t="shared" si="2"/>
        <v>21861738</v>
      </c>
    </row>
    <row r="26" spans="1:16" ht="72" hidden="1">
      <c r="A26" s="71"/>
      <c r="B26" s="71"/>
      <c r="C26" s="71"/>
      <c r="D26" s="51" t="s">
        <v>658</v>
      </c>
      <c r="E26" s="263">
        <f>F26</f>
        <v>1904217</v>
      </c>
      <c r="F26" s="263">
        <f>1964545+66672-127000</f>
        <v>1904217</v>
      </c>
      <c r="G26" s="263">
        <f>1398445+66672</f>
        <v>1465117</v>
      </c>
      <c r="H26" s="263">
        <v>266587</v>
      </c>
      <c r="I26" s="263"/>
      <c r="J26" s="262">
        <f t="shared" si="4"/>
        <v>8000</v>
      </c>
      <c r="K26" s="263"/>
      <c r="L26" s="263">
        <v>8000</v>
      </c>
      <c r="M26" s="263"/>
      <c r="N26" s="263"/>
      <c r="O26" s="262">
        <f t="shared" si="5"/>
        <v>0</v>
      </c>
      <c r="P26" s="263">
        <f t="shared" si="2"/>
        <v>1912217</v>
      </c>
    </row>
    <row r="27" spans="1:16" ht="48">
      <c r="A27" s="71" t="s">
        <v>659</v>
      </c>
      <c r="B27" s="71" t="s">
        <v>660</v>
      </c>
      <c r="C27" s="71" t="s">
        <v>661</v>
      </c>
      <c r="D27" s="51" t="s">
        <v>662</v>
      </c>
      <c r="E27" s="263">
        <f>F27</f>
        <v>777511</v>
      </c>
      <c r="F27" s="263">
        <f>F28</f>
        <v>777511</v>
      </c>
      <c r="G27" s="263">
        <f aca="true" t="shared" si="6" ref="G27:N27">G28</f>
        <v>715232</v>
      </c>
      <c r="H27" s="263">
        <f t="shared" si="6"/>
        <v>58244</v>
      </c>
      <c r="I27" s="263">
        <f t="shared" si="6"/>
        <v>0</v>
      </c>
      <c r="J27" s="263">
        <f t="shared" si="6"/>
        <v>56000</v>
      </c>
      <c r="K27" s="263">
        <f t="shared" si="6"/>
        <v>0</v>
      </c>
      <c r="L27" s="263">
        <f t="shared" si="6"/>
        <v>56000</v>
      </c>
      <c r="M27" s="263">
        <f t="shared" si="6"/>
        <v>18300</v>
      </c>
      <c r="N27" s="263">
        <f t="shared" si="6"/>
        <v>12590</v>
      </c>
      <c r="O27" s="262">
        <f t="shared" si="5"/>
        <v>0</v>
      </c>
      <c r="P27" s="263">
        <f t="shared" si="2"/>
        <v>833511</v>
      </c>
    </row>
    <row r="28" spans="1:16" ht="96" hidden="1">
      <c r="A28" s="71" t="s">
        <v>615</v>
      </c>
      <c r="B28" s="71" t="s">
        <v>660</v>
      </c>
      <c r="C28" s="71" t="s">
        <v>661</v>
      </c>
      <c r="D28" s="51" t="s">
        <v>663</v>
      </c>
      <c r="E28" s="263">
        <f>F28</f>
        <v>777511</v>
      </c>
      <c r="F28" s="263">
        <f>759115+18396</f>
        <v>777511</v>
      </c>
      <c r="G28" s="263">
        <f>696836+18396</f>
        <v>715232</v>
      </c>
      <c r="H28" s="263">
        <v>58244</v>
      </c>
      <c r="I28" s="263"/>
      <c r="J28" s="262">
        <f t="shared" si="4"/>
        <v>56000</v>
      </c>
      <c r="K28" s="263"/>
      <c r="L28" s="263">
        <v>56000</v>
      </c>
      <c r="M28" s="263">
        <v>18300</v>
      </c>
      <c r="N28" s="263">
        <v>12590</v>
      </c>
      <c r="O28" s="262">
        <f t="shared" si="5"/>
        <v>0</v>
      </c>
      <c r="P28" s="263">
        <f t="shared" si="2"/>
        <v>833511</v>
      </c>
    </row>
    <row r="29" spans="1:16" ht="48">
      <c r="A29" s="71" t="s">
        <v>616</v>
      </c>
      <c r="B29" s="71" t="s">
        <v>617</v>
      </c>
      <c r="C29" s="71" t="s">
        <v>749</v>
      </c>
      <c r="D29" s="51" t="s">
        <v>618</v>
      </c>
      <c r="E29" s="263">
        <f>F29</f>
        <v>3157209</v>
      </c>
      <c r="F29" s="263">
        <f>3218547-61338</f>
        <v>3157209</v>
      </c>
      <c r="G29" s="263">
        <f>326735+1237547+35380</f>
        <v>1599662</v>
      </c>
      <c r="H29" s="263">
        <f>2420+31995-29000</f>
        <v>5415</v>
      </c>
      <c r="I29" s="263"/>
      <c r="J29" s="262"/>
      <c r="K29" s="263"/>
      <c r="L29" s="263"/>
      <c r="M29" s="263"/>
      <c r="N29" s="263"/>
      <c r="O29" s="262"/>
      <c r="P29" s="263">
        <f t="shared" si="2"/>
        <v>3157209</v>
      </c>
    </row>
    <row r="30" spans="1:16" ht="72">
      <c r="A30" s="71" t="s">
        <v>664</v>
      </c>
      <c r="B30" s="71" t="s">
        <v>665</v>
      </c>
      <c r="C30" s="71" t="s">
        <v>666</v>
      </c>
      <c r="D30" s="51" t="s">
        <v>667</v>
      </c>
      <c r="E30" s="263">
        <f>E37+E32+E36</f>
        <v>30137529</v>
      </c>
      <c r="F30" s="263">
        <f aca="true" t="shared" si="7" ref="F30:O30">F37+F32+F36</f>
        <v>30137529</v>
      </c>
      <c r="G30" s="263">
        <f t="shared" si="7"/>
        <v>0</v>
      </c>
      <c r="H30" s="263">
        <f t="shared" si="7"/>
        <v>0</v>
      </c>
      <c r="I30" s="263">
        <f t="shared" si="7"/>
        <v>0</v>
      </c>
      <c r="J30" s="263">
        <f t="shared" si="7"/>
        <v>10491050</v>
      </c>
      <c r="K30" s="263">
        <f t="shared" si="7"/>
        <v>10491050</v>
      </c>
      <c r="L30" s="263">
        <f t="shared" si="7"/>
        <v>0</v>
      </c>
      <c r="M30" s="263">
        <f t="shared" si="7"/>
        <v>0</v>
      </c>
      <c r="N30" s="263">
        <f t="shared" si="7"/>
        <v>0</v>
      </c>
      <c r="O30" s="263">
        <f t="shared" si="7"/>
        <v>10491050</v>
      </c>
      <c r="P30" s="263">
        <f t="shared" si="2"/>
        <v>40628579</v>
      </c>
    </row>
    <row r="31" spans="1:16" ht="29.25" customHeight="1" hidden="1">
      <c r="A31" s="71"/>
      <c r="B31" s="71"/>
      <c r="C31" s="71"/>
      <c r="D31" s="51" t="s">
        <v>656</v>
      </c>
      <c r="E31" s="263"/>
      <c r="F31" s="263"/>
      <c r="G31" s="263"/>
      <c r="H31" s="263"/>
      <c r="I31" s="263"/>
      <c r="J31" s="262">
        <f t="shared" si="4"/>
        <v>0</v>
      </c>
      <c r="K31" s="263"/>
      <c r="L31" s="263"/>
      <c r="M31" s="263"/>
      <c r="N31" s="263"/>
      <c r="O31" s="262">
        <f t="shared" si="5"/>
        <v>0</v>
      </c>
      <c r="P31" s="263">
        <f t="shared" si="2"/>
        <v>0</v>
      </c>
    </row>
    <row r="32" spans="1:16" ht="48" customHeight="1" hidden="1">
      <c r="A32" s="71"/>
      <c r="B32" s="71"/>
      <c r="C32" s="71"/>
      <c r="D32" s="51" t="s">
        <v>668</v>
      </c>
      <c r="E32" s="263">
        <f>F32+I32</f>
        <v>13792455</v>
      </c>
      <c r="F32" s="263">
        <f>13792400+55</f>
        <v>13792455</v>
      </c>
      <c r="G32" s="263"/>
      <c r="H32" s="263"/>
      <c r="I32" s="263"/>
      <c r="J32" s="262">
        <f t="shared" si="4"/>
        <v>0</v>
      </c>
      <c r="K32" s="263"/>
      <c r="L32" s="263"/>
      <c r="M32" s="263"/>
      <c r="N32" s="263"/>
      <c r="O32" s="262">
        <f t="shared" si="5"/>
        <v>0</v>
      </c>
      <c r="P32" s="263">
        <f t="shared" si="2"/>
        <v>13792455</v>
      </c>
    </row>
    <row r="33" spans="1:16" ht="216" customHeight="1" hidden="1">
      <c r="A33" s="71"/>
      <c r="B33" s="71"/>
      <c r="C33" s="71"/>
      <c r="D33" s="51" t="s">
        <v>669</v>
      </c>
      <c r="E33" s="263"/>
      <c r="F33" s="263"/>
      <c r="G33" s="263"/>
      <c r="H33" s="263"/>
      <c r="I33" s="263"/>
      <c r="J33" s="262">
        <f t="shared" si="4"/>
        <v>0</v>
      </c>
      <c r="K33" s="263"/>
      <c r="L33" s="263"/>
      <c r="M33" s="263"/>
      <c r="N33" s="263"/>
      <c r="O33" s="262">
        <f t="shared" si="5"/>
        <v>0</v>
      </c>
      <c r="P33" s="263">
        <f t="shared" si="2"/>
        <v>0</v>
      </c>
    </row>
    <row r="34" spans="1:16" ht="144" customHeight="1" hidden="1">
      <c r="A34" s="71"/>
      <c r="B34" s="71"/>
      <c r="C34" s="71"/>
      <c r="D34" s="52" t="s">
        <v>670</v>
      </c>
      <c r="E34" s="263"/>
      <c r="F34" s="263"/>
      <c r="G34" s="263"/>
      <c r="H34" s="263"/>
      <c r="I34" s="263"/>
      <c r="J34" s="262">
        <f t="shared" si="4"/>
        <v>0</v>
      </c>
      <c r="K34" s="263"/>
      <c r="L34" s="263"/>
      <c r="M34" s="263"/>
      <c r="N34" s="263"/>
      <c r="O34" s="262">
        <f t="shared" si="5"/>
        <v>0</v>
      </c>
      <c r="P34" s="263">
        <f t="shared" si="2"/>
        <v>0</v>
      </c>
    </row>
    <row r="35" spans="1:16" ht="216" customHeight="1" hidden="1">
      <c r="A35" s="71"/>
      <c r="B35" s="71"/>
      <c r="C35" s="71"/>
      <c r="D35" s="53" t="s">
        <v>669</v>
      </c>
      <c r="E35" s="263"/>
      <c r="F35" s="263"/>
      <c r="G35" s="263"/>
      <c r="H35" s="263"/>
      <c r="I35" s="263"/>
      <c r="J35" s="262">
        <f t="shared" si="4"/>
        <v>0</v>
      </c>
      <c r="K35" s="263"/>
      <c r="L35" s="263"/>
      <c r="M35" s="263"/>
      <c r="N35" s="263"/>
      <c r="O35" s="262">
        <f t="shared" si="5"/>
        <v>0</v>
      </c>
      <c r="P35" s="263">
        <f t="shared" si="2"/>
        <v>0</v>
      </c>
    </row>
    <row r="36" spans="1:16" ht="120" customHeight="1" hidden="1">
      <c r="A36" s="71"/>
      <c r="B36" s="71"/>
      <c r="C36" s="71"/>
      <c r="D36" s="53" t="s">
        <v>555</v>
      </c>
      <c r="E36" s="263">
        <f>F36</f>
        <v>277035</v>
      </c>
      <c r="F36" s="263">
        <f>157035+120000</f>
        <v>277035</v>
      </c>
      <c r="G36" s="263"/>
      <c r="H36" s="263"/>
      <c r="I36" s="263"/>
      <c r="J36" s="262">
        <f t="shared" si="4"/>
        <v>3700000</v>
      </c>
      <c r="K36" s="263">
        <f>250000+3450000</f>
        <v>3700000</v>
      </c>
      <c r="L36" s="263"/>
      <c r="M36" s="263"/>
      <c r="N36" s="263"/>
      <c r="O36" s="262">
        <f t="shared" si="5"/>
        <v>3700000</v>
      </c>
      <c r="P36" s="263">
        <f t="shared" si="2"/>
        <v>3977035</v>
      </c>
    </row>
    <row r="37" spans="1:16" ht="29.25" customHeight="1" hidden="1">
      <c r="A37" s="71"/>
      <c r="B37" s="71"/>
      <c r="C37" s="71"/>
      <c r="D37" s="51" t="s">
        <v>671</v>
      </c>
      <c r="E37" s="263">
        <f>F37</f>
        <v>16068039</v>
      </c>
      <c r="F37" s="263">
        <f>10009603-20539+1098750+183938+400000+654823+135494+750000+137200+169202+71920+750000+20110+650000+184887+200000+195908+58000+72630+32030+68020-100000-6999+85028+25600+37584+204850</f>
        <v>16068039</v>
      </c>
      <c r="G37" s="263"/>
      <c r="H37" s="263"/>
      <c r="I37" s="263"/>
      <c r="J37" s="262">
        <f t="shared" si="4"/>
        <v>6791050</v>
      </c>
      <c r="K37" s="263">
        <f>4727000+767500+99900+945200-945200+211500+315000+375000+295150</f>
        <v>6791050</v>
      </c>
      <c r="L37" s="263"/>
      <c r="M37" s="263"/>
      <c r="N37" s="263"/>
      <c r="O37" s="262">
        <f t="shared" si="5"/>
        <v>6791050</v>
      </c>
      <c r="P37" s="263">
        <f t="shared" si="2"/>
        <v>22859089</v>
      </c>
    </row>
    <row r="38" spans="1:16" ht="144">
      <c r="A38" s="71" t="s">
        <v>676</v>
      </c>
      <c r="B38" s="71" t="s">
        <v>677</v>
      </c>
      <c r="C38" s="71" t="s">
        <v>678</v>
      </c>
      <c r="D38" s="51" t="s">
        <v>679</v>
      </c>
      <c r="E38" s="263">
        <f>F38</f>
        <v>1085863</v>
      </c>
      <c r="F38" s="263">
        <f>680360+49908+13500+77015+58061+100000+22500+49999+34520</f>
        <v>1085863</v>
      </c>
      <c r="G38" s="263"/>
      <c r="H38" s="263"/>
      <c r="I38" s="263"/>
      <c r="J38" s="262">
        <f t="shared" si="4"/>
        <v>68000</v>
      </c>
      <c r="K38" s="263">
        <f>48000+20000</f>
        <v>68000</v>
      </c>
      <c r="L38" s="263"/>
      <c r="M38" s="263"/>
      <c r="N38" s="263"/>
      <c r="O38" s="262">
        <f t="shared" si="5"/>
        <v>68000</v>
      </c>
      <c r="P38" s="263">
        <f t="shared" si="2"/>
        <v>1153863</v>
      </c>
    </row>
    <row r="39" spans="1:16" ht="96">
      <c r="A39" s="71" t="s">
        <v>109</v>
      </c>
      <c r="B39" s="71" t="s">
        <v>110</v>
      </c>
      <c r="C39" s="71" t="s">
        <v>674</v>
      </c>
      <c r="D39" s="51" t="s">
        <v>111</v>
      </c>
      <c r="E39" s="263">
        <f>F39</f>
        <v>2773486</v>
      </c>
      <c r="F39" s="263">
        <f>432000+217918+1402800+720768</f>
        <v>2773486</v>
      </c>
      <c r="G39" s="263"/>
      <c r="H39" s="263"/>
      <c r="I39" s="263"/>
      <c r="J39" s="262"/>
      <c r="K39" s="263"/>
      <c r="L39" s="263"/>
      <c r="M39" s="263"/>
      <c r="N39" s="263"/>
      <c r="O39" s="262"/>
      <c r="P39" s="263">
        <f t="shared" si="2"/>
        <v>2773486</v>
      </c>
    </row>
    <row r="40" spans="1:16" ht="48">
      <c r="A40" s="71" t="s">
        <v>672</v>
      </c>
      <c r="B40" s="71" t="s">
        <v>673</v>
      </c>
      <c r="C40" s="71" t="s">
        <v>674</v>
      </c>
      <c r="D40" s="51" t="s">
        <v>675</v>
      </c>
      <c r="E40" s="263">
        <f aca="true" t="shared" si="8" ref="E40:O40">SUM(E41:E45)</f>
        <v>7768102</v>
      </c>
      <c r="F40" s="263">
        <f t="shared" si="8"/>
        <v>7768102</v>
      </c>
      <c r="G40" s="263">
        <f t="shared" si="8"/>
        <v>0</v>
      </c>
      <c r="H40" s="263">
        <f t="shared" si="8"/>
        <v>0</v>
      </c>
      <c r="I40" s="263">
        <f t="shared" si="8"/>
        <v>0</v>
      </c>
      <c r="J40" s="263">
        <f t="shared" si="8"/>
        <v>0</v>
      </c>
      <c r="K40" s="263">
        <f t="shared" si="8"/>
        <v>0</v>
      </c>
      <c r="L40" s="263">
        <f t="shared" si="8"/>
        <v>0</v>
      </c>
      <c r="M40" s="263">
        <f t="shared" si="8"/>
        <v>0</v>
      </c>
      <c r="N40" s="263">
        <f t="shared" si="8"/>
        <v>0</v>
      </c>
      <c r="O40" s="263">
        <f t="shared" si="8"/>
        <v>0</v>
      </c>
      <c r="P40" s="263">
        <f t="shared" si="2"/>
        <v>7768102</v>
      </c>
    </row>
    <row r="41" spans="1:16" ht="29.25" hidden="1">
      <c r="A41" s="54"/>
      <c r="B41" s="54"/>
      <c r="C41" s="54"/>
      <c r="D41" s="54" t="s">
        <v>680</v>
      </c>
      <c r="E41" s="263">
        <f aca="true" t="shared" si="9" ref="E41:E48">F41</f>
        <v>1504814</v>
      </c>
      <c r="F41" s="263">
        <f>1000000+199000+221814+84000</f>
        <v>1504814</v>
      </c>
      <c r="G41" s="263"/>
      <c r="H41" s="263"/>
      <c r="I41" s="263"/>
      <c r="J41" s="262">
        <f t="shared" si="4"/>
        <v>0</v>
      </c>
      <c r="K41" s="263"/>
      <c r="L41" s="263"/>
      <c r="M41" s="263"/>
      <c r="N41" s="263"/>
      <c r="O41" s="262">
        <f t="shared" si="5"/>
        <v>0</v>
      </c>
      <c r="P41" s="263">
        <f t="shared" si="2"/>
        <v>1504814</v>
      </c>
    </row>
    <row r="42" spans="1:16" ht="29.25" hidden="1">
      <c r="A42" s="54"/>
      <c r="B42" s="54"/>
      <c r="C42" s="54"/>
      <c r="D42" s="54" t="s">
        <v>681</v>
      </c>
      <c r="E42" s="263">
        <f t="shared" si="9"/>
        <v>5718949</v>
      </c>
      <c r="F42" s="263">
        <f>5010600-476620+100000+106039+600000+130000+100000-431568+132829+180669+267000</f>
        <v>5718949</v>
      </c>
      <c r="G42" s="263"/>
      <c r="H42" s="263"/>
      <c r="I42" s="263"/>
      <c r="J42" s="262">
        <f t="shared" si="4"/>
        <v>0</v>
      </c>
      <c r="K42" s="263"/>
      <c r="L42" s="263"/>
      <c r="M42" s="263"/>
      <c r="N42" s="263"/>
      <c r="O42" s="262">
        <f t="shared" si="5"/>
        <v>0</v>
      </c>
      <c r="P42" s="263">
        <f t="shared" si="2"/>
        <v>5718949</v>
      </c>
    </row>
    <row r="43" spans="1:16" ht="29.25" hidden="1">
      <c r="A43" s="54"/>
      <c r="B43" s="54"/>
      <c r="C43" s="54"/>
      <c r="D43" s="54" t="s">
        <v>160</v>
      </c>
      <c r="E43" s="263">
        <f t="shared" si="9"/>
        <v>121839</v>
      </c>
      <c r="F43" s="263">
        <f>80000+41839</f>
        <v>121839</v>
      </c>
      <c r="G43" s="263"/>
      <c r="H43" s="263"/>
      <c r="I43" s="263"/>
      <c r="J43" s="262"/>
      <c r="K43" s="263"/>
      <c r="L43" s="263"/>
      <c r="M43" s="263"/>
      <c r="N43" s="263"/>
      <c r="O43" s="262"/>
      <c r="P43" s="263"/>
    </row>
    <row r="44" spans="1:16" ht="48" hidden="1">
      <c r="A44" s="54"/>
      <c r="B44" s="54"/>
      <c r="C44" s="54"/>
      <c r="D44" s="54" t="s">
        <v>161</v>
      </c>
      <c r="E44" s="263">
        <f t="shared" si="9"/>
        <v>200000</v>
      </c>
      <c r="F44" s="263">
        <f>100000+100000</f>
        <v>200000</v>
      </c>
      <c r="G44" s="263"/>
      <c r="H44" s="263"/>
      <c r="I44" s="263"/>
      <c r="J44" s="262"/>
      <c r="K44" s="263"/>
      <c r="L44" s="263"/>
      <c r="M44" s="263"/>
      <c r="N44" s="263"/>
      <c r="O44" s="262"/>
      <c r="P44" s="263"/>
    </row>
    <row r="45" spans="1:16" ht="29.25" hidden="1">
      <c r="A45" s="54"/>
      <c r="B45" s="54"/>
      <c r="C45" s="54"/>
      <c r="D45" s="54" t="s">
        <v>179</v>
      </c>
      <c r="E45" s="263">
        <f>F45</f>
        <v>222500</v>
      </c>
      <c r="F45" s="263">
        <f>122500+100000</f>
        <v>222500</v>
      </c>
      <c r="G45" s="263"/>
      <c r="H45" s="263"/>
      <c r="I45" s="263"/>
      <c r="J45" s="262"/>
      <c r="K45" s="263"/>
      <c r="L45" s="263"/>
      <c r="M45" s="263"/>
      <c r="N45" s="263"/>
      <c r="O45" s="262"/>
      <c r="P45" s="263"/>
    </row>
    <row r="46" spans="1:16" ht="72">
      <c r="A46" s="71" t="s">
        <v>682</v>
      </c>
      <c r="B46" s="71" t="s">
        <v>683</v>
      </c>
      <c r="C46" s="72" t="s">
        <v>684</v>
      </c>
      <c r="D46" s="50" t="s">
        <v>685</v>
      </c>
      <c r="E46" s="263">
        <f t="shared" si="9"/>
        <v>5000</v>
      </c>
      <c r="F46" s="263">
        <v>5000</v>
      </c>
      <c r="G46" s="263"/>
      <c r="H46" s="263"/>
      <c r="I46" s="263"/>
      <c r="J46" s="262">
        <f t="shared" si="4"/>
        <v>0</v>
      </c>
      <c r="K46" s="263"/>
      <c r="L46" s="263"/>
      <c r="M46" s="263"/>
      <c r="N46" s="263"/>
      <c r="O46" s="262">
        <f t="shared" si="5"/>
        <v>0</v>
      </c>
      <c r="P46" s="263">
        <f t="shared" si="2"/>
        <v>5000</v>
      </c>
    </row>
    <row r="47" spans="1:16" ht="72">
      <c r="A47" s="71" t="s">
        <v>686</v>
      </c>
      <c r="B47" s="71" t="s">
        <v>687</v>
      </c>
      <c r="C47" s="71" t="s">
        <v>688</v>
      </c>
      <c r="D47" s="51" t="s">
        <v>689</v>
      </c>
      <c r="E47" s="263">
        <f t="shared" si="9"/>
        <v>126000</v>
      </c>
      <c r="F47" s="263">
        <f>94000+32000</f>
        <v>126000</v>
      </c>
      <c r="G47" s="263"/>
      <c r="H47" s="263"/>
      <c r="I47" s="263"/>
      <c r="J47" s="262">
        <f t="shared" si="4"/>
        <v>0</v>
      </c>
      <c r="K47" s="263"/>
      <c r="L47" s="263"/>
      <c r="M47" s="263"/>
      <c r="N47" s="263"/>
      <c r="O47" s="262">
        <f t="shared" si="5"/>
        <v>0</v>
      </c>
      <c r="P47" s="263">
        <f t="shared" si="2"/>
        <v>126000</v>
      </c>
    </row>
    <row r="48" spans="1:16" ht="48">
      <c r="A48" s="71" t="s">
        <v>162</v>
      </c>
      <c r="B48" s="71" t="s">
        <v>151</v>
      </c>
      <c r="C48" s="71" t="s">
        <v>152</v>
      </c>
      <c r="D48" s="51" t="s">
        <v>153</v>
      </c>
      <c r="E48" s="263">
        <f t="shared" si="9"/>
        <v>112368</v>
      </c>
      <c r="F48" s="263">
        <f>89320+23048</f>
        <v>112368</v>
      </c>
      <c r="G48" s="263">
        <v>8640</v>
      </c>
      <c r="H48" s="263"/>
      <c r="I48" s="263"/>
      <c r="J48" s="262"/>
      <c r="K48" s="263"/>
      <c r="L48" s="263"/>
      <c r="M48" s="263"/>
      <c r="N48" s="263"/>
      <c r="O48" s="262"/>
      <c r="P48" s="263">
        <f t="shared" si="2"/>
        <v>112368</v>
      </c>
    </row>
    <row r="49" spans="1:16" ht="72">
      <c r="A49" s="71" t="s">
        <v>690</v>
      </c>
      <c r="B49" s="71" t="s">
        <v>691</v>
      </c>
      <c r="C49" s="71" t="s">
        <v>692</v>
      </c>
      <c r="D49" s="55" t="s">
        <v>693</v>
      </c>
      <c r="E49" s="263">
        <f aca="true" t="shared" si="10" ref="E49:E74">F49</f>
        <v>1038000</v>
      </c>
      <c r="F49" s="263">
        <f>800000+238000</f>
        <v>1038000</v>
      </c>
      <c r="G49" s="263"/>
      <c r="H49" s="263"/>
      <c r="I49" s="263"/>
      <c r="J49" s="262">
        <f t="shared" si="4"/>
        <v>0</v>
      </c>
      <c r="K49" s="263"/>
      <c r="L49" s="263"/>
      <c r="M49" s="263"/>
      <c r="N49" s="263"/>
      <c r="O49" s="262">
        <f t="shared" si="5"/>
        <v>0</v>
      </c>
      <c r="P49" s="263">
        <f t="shared" si="2"/>
        <v>1038000</v>
      </c>
    </row>
    <row r="50" spans="1:16" ht="96">
      <c r="A50" s="71" t="s">
        <v>694</v>
      </c>
      <c r="B50" s="71" t="s">
        <v>695</v>
      </c>
      <c r="C50" s="71" t="s">
        <v>696</v>
      </c>
      <c r="D50" s="51" t="s">
        <v>697</v>
      </c>
      <c r="E50" s="263">
        <f t="shared" si="10"/>
        <v>1769277</v>
      </c>
      <c r="F50" s="263">
        <f>253522+50000+500000+500000+465755</f>
        <v>1769277</v>
      </c>
      <c r="G50" s="263"/>
      <c r="H50" s="263"/>
      <c r="I50" s="263"/>
      <c r="J50" s="262">
        <f t="shared" si="4"/>
        <v>0</v>
      </c>
      <c r="K50" s="264"/>
      <c r="L50" s="263"/>
      <c r="M50" s="263"/>
      <c r="N50" s="263"/>
      <c r="O50" s="262">
        <f t="shared" si="5"/>
        <v>0</v>
      </c>
      <c r="P50" s="263">
        <f t="shared" si="2"/>
        <v>1769277</v>
      </c>
    </row>
    <row r="51" spans="1:16" ht="48">
      <c r="A51" s="71" t="s">
        <v>698</v>
      </c>
      <c r="B51" s="71" t="s">
        <v>699</v>
      </c>
      <c r="C51" s="71" t="s">
        <v>696</v>
      </c>
      <c r="D51" s="51" t="s">
        <v>700</v>
      </c>
      <c r="E51" s="263">
        <f t="shared" si="10"/>
        <v>1747610</v>
      </c>
      <c r="F51" s="263">
        <f>1184800+500000-136100+198910</f>
        <v>1747610</v>
      </c>
      <c r="G51" s="263"/>
      <c r="H51" s="263"/>
      <c r="I51" s="263"/>
      <c r="J51" s="262">
        <f t="shared" si="4"/>
        <v>0</v>
      </c>
      <c r="K51" s="263"/>
      <c r="L51" s="263"/>
      <c r="M51" s="263"/>
      <c r="N51" s="263"/>
      <c r="O51" s="262">
        <f t="shared" si="5"/>
        <v>0</v>
      </c>
      <c r="P51" s="263">
        <f t="shared" si="2"/>
        <v>1747610</v>
      </c>
    </row>
    <row r="52" spans="1:16" ht="72" hidden="1">
      <c r="A52" s="71" t="s">
        <v>92</v>
      </c>
      <c r="B52" s="71" t="s">
        <v>93</v>
      </c>
      <c r="C52" s="71" t="s">
        <v>696</v>
      </c>
      <c r="D52" s="51" t="s">
        <v>94</v>
      </c>
      <c r="E52" s="263"/>
      <c r="F52" s="263"/>
      <c r="G52" s="263"/>
      <c r="H52" s="263"/>
      <c r="I52" s="263"/>
      <c r="J52" s="262">
        <f>L52+O52</f>
        <v>0</v>
      </c>
      <c r="K52" s="264"/>
      <c r="L52" s="263"/>
      <c r="M52" s="263"/>
      <c r="N52" s="263"/>
      <c r="O52" s="262">
        <f>K52</f>
        <v>0</v>
      </c>
      <c r="P52" s="263">
        <f>E52+J52</f>
        <v>0</v>
      </c>
    </row>
    <row r="53" spans="1:16" ht="96">
      <c r="A53" s="71" t="s">
        <v>701</v>
      </c>
      <c r="B53" s="71" t="s">
        <v>702</v>
      </c>
      <c r="C53" s="71" t="s">
        <v>696</v>
      </c>
      <c r="D53" s="51" t="s">
        <v>703</v>
      </c>
      <c r="E53" s="263">
        <f t="shared" si="10"/>
        <v>4600000</v>
      </c>
      <c r="F53" s="263">
        <f>2000000+1000000+1000000+600000</f>
        <v>4600000</v>
      </c>
      <c r="G53" s="263"/>
      <c r="H53" s="263"/>
      <c r="I53" s="263"/>
      <c r="J53" s="262">
        <f t="shared" si="4"/>
        <v>0</v>
      </c>
      <c r="K53" s="263"/>
      <c r="L53" s="263"/>
      <c r="M53" s="263"/>
      <c r="N53" s="263"/>
      <c r="O53" s="262">
        <f t="shared" si="5"/>
        <v>0</v>
      </c>
      <c r="P53" s="263">
        <f t="shared" si="2"/>
        <v>4600000</v>
      </c>
    </row>
    <row r="54" spans="1:16" ht="168">
      <c r="A54" s="71" t="s">
        <v>704</v>
      </c>
      <c r="B54" s="71" t="s">
        <v>705</v>
      </c>
      <c r="C54" s="71" t="s">
        <v>696</v>
      </c>
      <c r="D54" s="51" t="s">
        <v>706</v>
      </c>
      <c r="E54" s="263">
        <f t="shared" si="10"/>
        <v>1713145</v>
      </c>
      <c r="F54" s="263">
        <f>300000+400000+473268+100000+200000+200000+39877</f>
        <v>1713145</v>
      </c>
      <c r="G54" s="263"/>
      <c r="H54" s="263"/>
      <c r="I54" s="263"/>
      <c r="J54" s="262">
        <f t="shared" si="4"/>
        <v>0</v>
      </c>
      <c r="K54" s="263"/>
      <c r="L54" s="263"/>
      <c r="M54" s="263"/>
      <c r="N54" s="263"/>
      <c r="O54" s="262">
        <f t="shared" si="5"/>
        <v>0</v>
      </c>
      <c r="P54" s="263">
        <f t="shared" si="2"/>
        <v>1713145</v>
      </c>
    </row>
    <row r="55" spans="1:16" ht="48">
      <c r="A55" s="71" t="s">
        <v>707</v>
      </c>
      <c r="B55" s="71" t="s">
        <v>708</v>
      </c>
      <c r="C55" s="71" t="s">
        <v>696</v>
      </c>
      <c r="D55" s="51" t="s">
        <v>709</v>
      </c>
      <c r="E55" s="263">
        <f t="shared" si="10"/>
        <v>32456396</v>
      </c>
      <c r="F55" s="263">
        <f>30300000+618189+199131+113068+30728+43793+500000+300000+23268+38838+100000+50000+93687+45694</f>
        <v>32456396</v>
      </c>
      <c r="G55" s="263"/>
      <c r="H55" s="263"/>
      <c r="I55" s="263"/>
      <c r="J55" s="262">
        <f t="shared" si="4"/>
        <v>0</v>
      </c>
      <c r="K55" s="264"/>
      <c r="L55" s="263"/>
      <c r="M55" s="263"/>
      <c r="N55" s="263"/>
      <c r="O55" s="262">
        <f t="shared" si="5"/>
        <v>0</v>
      </c>
      <c r="P55" s="263">
        <f t="shared" si="2"/>
        <v>32456396</v>
      </c>
    </row>
    <row r="56" spans="1:16" ht="288">
      <c r="A56" s="71" t="s">
        <v>170</v>
      </c>
      <c r="B56" s="71" t="s">
        <v>171</v>
      </c>
      <c r="C56" s="71" t="s">
        <v>710</v>
      </c>
      <c r="D56" s="88" t="s">
        <v>172</v>
      </c>
      <c r="E56" s="263">
        <f>F56</f>
        <v>2636676</v>
      </c>
      <c r="F56" s="263">
        <f>1030968+805708+400000+400000</f>
        <v>2636676</v>
      </c>
      <c r="G56" s="263"/>
      <c r="H56" s="263"/>
      <c r="I56" s="263"/>
      <c r="J56" s="262"/>
      <c r="K56" s="264"/>
      <c r="L56" s="263"/>
      <c r="M56" s="263"/>
      <c r="N56" s="263"/>
      <c r="O56" s="262"/>
      <c r="P56" s="263">
        <f t="shared" si="2"/>
        <v>2636676</v>
      </c>
    </row>
    <row r="57" spans="1:16" ht="72">
      <c r="A57" s="71" t="s">
        <v>711</v>
      </c>
      <c r="B57" s="71" t="s">
        <v>712</v>
      </c>
      <c r="C57" s="71" t="s">
        <v>710</v>
      </c>
      <c r="D57" s="56" t="s">
        <v>713</v>
      </c>
      <c r="E57" s="263">
        <f t="shared" si="10"/>
        <v>199500</v>
      </c>
      <c r="F57" s="263">
        <v>199500</v>
      </c>
      <c r="G57" s="263"/>
      <c r="H57" s="263"/>
      <c r="I57" s="263"/>
      <c r="J57" s="262">
        <f t="shared" si="4"/>
        <v>0</v>
      </c>
      <c r="K57" s="263"/>
      <c r="L57" s="263"/>
      <c r="M57" s="263"/>
      <c r="N57" s="263"/>
      <c r="O57" s="262">
        <f t="shared" si="5"/>
        <v>0</v>
      </c>
      <c r="P57" s="263">
        <f t="shared" si="2"/>
        <v>199500</v>
      </c>
    </row>
    <row r="58" spans="1:16" ht="48" hidden="1">
      <c r="A58" s="71" t="s">
        <v>714</v>
      </c>
      <c r="B58" s="71" t="s">
        <v>715</v>
      </c>
      <c r="C58" s="71" t="s">
        <v>716</v>
      </c>
      <c r="D58" s="51" t="s">
        <v>717</v>
      </c>
      <c r="E58" s="263">
        <f t="shared" si="10"/>
        <v>0</v>
      </c>
      <c r="F58" s="263">
        <f>100000-100000</f>
        <v>0</v>
      </c>
      <c r="G58" s="263"/>
      <c r="H58" s="263"/>
      <c r="I58" s="263"/>
      <c r="J58" s="262">
        <f t="shared" si="4"/>
        <v>0</v>
      </c>
      <c r="K58" s="263"/>
      <c r="L58" s="263"/>
      <c r="M58" s="263"/>
      <c r="N58" s="263"/>
      <c r="O58" s="262">
        <f t="shared" si="5"/>
        <v>0</v>
      </c>
      <c r="P58" s="263">
        <f t="shared" si="2"/>
        <v>0</v>
      </c>
    </row>
    <row r="59" spans="1:16" ht="72">
      <c r="A59" s="71" t="s">
        <v>136</v>
      </c>
      <c r="B59" s="71" t="s">
        <v>86</v>
      </c>
      <c r="C59" s="71" t="s">
        <v>718</v>
      </c>
      <c r="D59" s="51" t="s">
        <v>87</v>
      </c>
      <c r="E59" s="263"/>
      <c r="F59" s="263"/>
      <c r="G59" s="263"/>
      <c r="H59" s="263"/>
      <c r="I59" s="263"/>
      <c r="J59" s="262">
        <f t="shared" si="4"/>
        <v>2725085</v>
      </c>
      <c r="K59" s="263">
        <f>1489850+401229+1061729+799188-1013643-13268</f>
        <v>2725085</v>
      </c>
      <c r="L59" s="263"/>
      <c r="M59" s="263"/>
      <c r="N59" s="263"/>
      <c r="O59" s="262">
        <f t="shared" si="5"/>
        <v>2725085</v>
      </c>
      <c r="P59" s="263">
        <f t="shared" si="2"/>
        <v>2725085</v>
      </c>
    </row>
    <row r="60" spans="1:16" ht="48">
      <c r="A60" s="71" t="s">
        <v>167</v>
      </c>
      <c r="B60" s="71" t="s">
        <v>168</v>
      </c>
      <c r="C60" s="71" t="s">
        <v>718</v>
      </c>
      <c r="D60" s="51" t="s">
        <v>169</v>
      </c>
      <c r="E60" s="263"/>
      <c r="F60" s="263"/>
      <c r="G60" s="263"/>
      <c r="H60" s="263"/>
      <c r="I60" s="263"/>
      <c r="J60" s="262">
        <f t="shared" si="4"/>
        <v>2248712</v>
      </c>
      <c r="K60" s="263">
        <f>182560+682318+245255+238931+200000+272399+250000+24265+123906+29078</f>
        <v>2248712</v>
      </c>
      <c r="L60" s="263"/>
      <c r="M60" s="263"/>
      <c r="N60" s="263"/>
      <c r="O60" s="262">
        <f t="shared" si="5"/>
        <v>2248712</v>
      </c>
      <c r="P60" s="263">
        <f t="shared" si="2"/>
        <v>2248712</v>
      </c>
    </row>
    <row r="61" spans="1:16" ht="72">
      <c r="A61" s="71" t="s">
        <v>415</v>
      </c>
      <c r="B61" s="74" t="s">
        <v>132</v>
      </c>
      <c r="C61" s="71" t="s">
        <v>718</v>
      </c>
      <c r="D61" s="56" t="s">
        <v>133</v>
      </c>
      <c r="E61" s="263"/>
      <c r="F61" s="263"/>
      <c r="G61" s="263"/>
      <c r="H61" s="263"/>
      <c r="I61" s="263"/>
      <c r="J61" s="262">
        <f>K61</f>
        <v>48600</v>
      </c>
      <c r="K61" s="263">
        <f>48600</f>
        <v>48600</v>
      </c>
      <c r="L61" s="263"/>
      <c r="M61" s="263"/>
      <c r="N61" s="263"/>
      <c r="O61" s="262">
        <f t="shared" si="5"/>
        <v>48600</v>
      </c>
      <c r="P61" s="263">
        <f t="shared" si="2"/>
        <v>48600</v>
      </c>
    </row>
    <row r="62" spans="1:16" ht="48">
      <c r="A62" s="71" t="s">
        <v>121</v>
      </c>
      <c r="B62" s="71" t="s">
        <v>41</v>
      </c>
      <c r="C62" s="71" t="s">
        <v>718</v>
      </c>
      <c r="D62" s="51" t="s">
        <v>122</v>
      </c>
      <c r="E62" s="263"/>
      <c r="F62" s="263"/>
      <c r="G62" s="263"/>
      <c r="H62" s="263"/>
      <c r="I62" s="263"/>
      <c r="J62" s="262">
        <f t="shared" si="4"/>
        <v>2939539</v>
      </c>
      <c r="K62" s="263">
        <f>236684+57727+284098+1035724+60000+747973+300000+138312+53021+26000</f>
        <v>2939539</v>
      </c>
      <c r="L62" s="263"/>
      <c r="M62" s="263"/>
      <c r="N62" s="263"/>
      <c r="O62" s="262">
        <f t="shared" si="5"/>
        <v>2939539</v>
      </c>
      <c r="P62" s="263">
        <f t="shared" si="2"/>
        <v>2939539</v>
      </c>
    </row>
    <row r="63" spans="1:16" ht="120">
      <c r="A63" s="71" t="s">
        <v>98</v>
      </c>
      <c r="B63" s="71" t="s">
        <v>96</v>
      </c>
      <c r="C63" s="71" t="s">
        <v>719</v>
      </c>
      <c r="D63" s="51" t="s">
        <v>97</v>
      </c>
      <c r="E63" s="263"/>
      <c r="F63" s="263"/>
      <c r="G63" s="263"/>
      <c r="H63" s="263"/>
      <c r="I63" s="263"/>
      <c r="J63" s="262">
        <f t="shared" si="4"/>
        <v>3223795</v>
      </c>
      <c r="K63" s="263">
        <f>1204337+200000+1306707-1204337-200000-190000+2155688-48600</f>
        <v>3223795</v>
      </c>
      <c r="L63" s="263"/>
      <c r="M63" s="263"/>
      <c r="N63" s="263"/>
      <c r="O63" s="262">
        <f>K63</f>
        <v>3223795</v>
      </c>
      <c r="P63" s="263">
        <f>E63+J63</f>
        <v>3223795</v>
      </c>
    </row>
    <row r="64" spans="1:18" ht="154.5" customHeight="1">
      <c r="A64" s="71" t="s">
        <v>525</v>
      </c>
      <c r="B64" s="71" t="s">
        <v>526</v>
      </c>
      <c r="C64" s="71" t="s">
        <v>719</v>
      </c>
      <c r="D64" s="51" t="s">
        <v>527</v>
      </c>
      <c r="E64" s="263"/>
      <c r="F64" s="263"/>
      <c r="G64" s="263"/>
      <c r="H64" s="263"/>
      <c r="I64" s="263"/>
      <c r="J64" s="262">
        <f t="shared" si="4"/>
        <v>500000</v>
      </c>
      <c r="K64" s="263">
        <f>500000</f>
        <v>500000</v>
      </c>
      <c r="L64" s="263"/>
      <c r="M64" s="263"/>
      <c r="N64" s="263"/>
      <c r="O64" s="262">
        <f>K64</f>
        <v>500000</v>
      </c>
      <c r="P64" s="263">
        <f>E64+J64</f>
        <v>500000</v>
      </c>
      <c r="R64" s="239"/>
    </row>
    <row r="65" spans="1:16" ht="78.75" customHeight="1">
      <c r="A65" s="71" t="s">
        <v>163</v>
      </c>
      <c r="B65" s="71" t="s">
        <v>164</v>
      </c>
      <c r="C65" s="71" t="s">
        <v>165</v>
      </c>
      <c r="D65" s="51" t="s">
        <v>166</v>
      </c>
      <c r="E65" s="263">
        <f>F65</f>
        <v>1311824</v>
      </c>
      <c r="F65" s="263">
        <f>187310+219817+130294+106917+285046+382440</f>
        <v>1311824</v>
      </c>
      <c r="G65" s="263"/>
      <c r="H65" s="263"/>
      <c r="I65" s="263"/>
      <c r="J65" s="262"/>
      <c r="K65" s="263"/>
      <c r="L65" s="263"/>
      <c r="M65" s="263"/>
      <c r="N65" s="263"/>
      <c r="O65" s="262"/>
      <c r="P65" s="263">
        <f>E65+J65</f>
        <v>1311824</v>
      </c>
    </row>
    <row r="66" spans="1:16" ht="78.75" customHeight="1">
      <c r="A66" s="71" t="s">
        <v>362</v>
      </c>
      <c r="B66" s="71" t="s">
        <v>363</v>
      </c>
      <c r="C66" s="71" t="s">
        <v>165</v>
      </c>
      <c r="D66" s="51" t="s">
        <v>364</v>
      </c>
      <c r="E66" s="263">
        <f>F66</f>
        <v>645000</v>
      </c>
      <c r="F66" s="263">
        <f>195000+450000</f>
        <v>645000</v>
      </c>
      <c r="G66" s="263"/>
      <c r="H66" s="263"/>
      <c r="I66" s="263"/>
      <c r="J66" s="262"/>
      <c r="K66" s="263"/>
      <c r="L66" s="263"/>
      <c r="M66" s="263"/>
      <c r="N66" s="263"/>
      <c r="O66" s="262"/>
      <c r="P66" s="263">
        <f>E66+J66</f>
        <v>645000</v>
      </c>
    </row>
    <row r="67" spans="1:16" ht="120">
      <c r="A67" s="71" t="s">
        <v>720</v>
      </c>
      <c r="B67" s="71" t="s">
        <v>721</v>
      </c>
      <c r="C67" s="71" t="s">
        <v>722</v>
      </c>
      <c r="D67" s="51" t="s">
        <v>723</v>
      </c>
      <c r="E67" s="263">
        <f t="shared" si="10"/>
        <v>7981866</v>
      </c>
      <c r="F67" s="263">
        <f>7500000+157091+24775+300000</f>
        <v>7981866</v>
      </c>
      <c r="G67" s="263"/>
      <c r="H67" s="263"/>
      <c r="I67" s="263"/>
      <c r="J67" s="262">
        <f t="shared" si="4"/>
        <v>17280</v>
      </c>
      <c r="K67" s="263">
        <f>17280</f>
        <v>17280</v>
      </c>
      <c r="L67" s="263"/>
      <c r="M67" s="263"/>
      <c r="N67" s="263"/>
      <c r="O67" s="262">
        <f t="shared" si="5"/>
        <v>17280</v>
      </c>
      <c r="P67" s="263">
        <f t="shared" si="2"/>
        <v>7999146</v>
      </c>
    </row>
    <row r="68" spans="1:16" ht="72">
      <c r="A68" s="71" t="s">
        <v>99</v>
      </c>
      <c r="B68" s="71" t="s">
        <v>100</v>
      </c>
      <c r="C68" s="71" t="s">
        <v>719</v>
      </c>
      <c r="D68" s="57" t="s">
        <v>101</v>
      </c>
      <c r="E68" s="263"/>
      <c r="F68" s="263"/>
      <c r="G68" s="263"/>
      <c r="H68" s="263"/>
      <c r="I68" s="263"/>
      <c r="J68" s="262">
        <f t="shared" si="4"/>
        <v>11176283</v>
      </c>
      <c r="K68" s="263">
        <f>4500000+3250000+4500000+1500000+65306+512640+945200+239000-4500000+40000+500000-790494+67224-154706-300150+222500+245292+27948+23171+134528+148824</f>
        <v>11176283</v>
      </c>
      <c r="L68" s="263"/>
      <c r="M68" s="263"/>
      <c r="N68" s="263"/>
      <c r="O68" s="262">
        <f>K68</f>
        <v>11176283</v>
      </c>
      <c r="P68" s="263">
        <f>E68+J68</f>
        <v>11176283</v>
      </c>
    </row>
    <row r="69" spans="1:16" ht="72">
      <c r="A69" s="71" t="s">
        <v>724</v>
      </c>
      <c r="B69" s="71" t="s">
        <v>725</v>
      </c>
      <c r="C69" s="71" t="s">
        <v>719</v>
      </c>
      <c r="D69" s="57" t="s">
        <v>726</v>
      </c>
      <c r="E69" s="263">
        <f t="shared" si="10"/>
        <v>29837</v>
      </c>
      <c r="F69" s="263">
        <f>25325+4512</f>
        <v>29837</v>
      </c>
      <c r="G69" s="263"/>
      <c r="H69" s="263"/>
      <c r="I69" s="263"/>
      <c r="J69" s="262">
        <f t="shared" si="4"/>
        <v>0</v>
      </c>
      <c r="K69" s="263"/>
      <c r="L69" s="263"/>
      <c r="M69" s="263"/>
      <c r="N69" s="263"/>
      <c r="O69" s="262">
        <f t="shared" si="5"/>
        <v>0</v>
      </c>
      <c r="P69" s="263">
        <f t="shared" si="2"/>
        <v>29837</v>
      </c>
    </row>
    <row r="70" spans="1:16" ht="48">
      <c r="A70" s="71" t="s">
        <v>727</v>
      </c>
      <c r="B70" s="71" t="s">
        <v>728</v>
      </c>
      <c r="C70" s="71" t="s">
        <v>719</v>
      </c>
      <c r="D70" s="51" t="s">
        <v>729</v>
      </c>
      <c r="E70" s="263">
        <f t="shared" si="10"/>
        <v>5054957</v>
      </c>
      <c r="F70" s="263">
        <f>1978205+50000+400000-50000+17669+195000+58410+78000+456628+91204-300000+386452+195364+400000+300000+32500+70027+100000+28000+49982+49731+25546+115731+10050+49958+60000+200000+6500</f>
        <v>5054957</v>
      </c>
      <c r="G70" s="263"/>
      <c r="H70" s="263"/>
      <c r="I70" s="263"/>
      <c r="J70" s="262">
        <f t="shared" si="4"/>
        <v>0</v>
      </c>
      <c r="K70" s="263"/>
      <c r="L70" s="263"/>
      <c r="M70" s="263"/>
      <c r="N70" s="263"/>
      <c r="O70" s="262">
        <f t="shared" si="5"/>
        <v>0</v>
      </c>
      <c r="P70" s="263">
        <f t="shared" si="2"/>
        <v>5054957</v>
      </c>
    </row>
    <row r="71" spans="1:16" ht="72">
      <c r="A71" s="71" t="s">
        <v>730</v>
      </c>
      <c r="B71" s="71" t="s">
        <v>731</v>
      </c>
      <c r="C71" s="71" t="s">
        <v>732</v>
      </c>
      <c r="D71" s="58" t="s">
        <v>733</v>
      </c>
      <c r="E71" s="263">
        <f t="shared" si="10"/>
        <v>3028557</v>
      </c>
      <c r="F71" s="263">
        <f>2497345+62500+51658+417054</f>
        <v>3028557</v>
      </c>
      <c r="G71" s="263"/>
      <c r="H71" s="263"/>
      <c r="I71" s="263"/>
      <c r="J71" s="262">
        <f t="shared" si="4"/>
        <v>0</v>
      </c>
      <c r="K71" s="263"/>
      <c r="L71" s="263"/>
      <c r="M71" s="263"/>
      <c r="N71" s="263"/>
      <c r="O71" s="262">
        <f t="shared" si="5"/>
        <v>0</v>
      </c>
      <c r="P71" s="263">
        <f t="shared" si="2"/>
        <v>3028557</v>
      </c>
    </row>
    <row r="72" spans="1:16" ht="48">
      <c r="A72" s="71" t="s">
        <v>734</v>
      </c>
      <c r="B72" s="71" t="s">
        <v>735</v>
      </c>
      <c r="C72" s="71" t="s">
        <v>736</v>
      </c>
      <c r="D72" s="56" t="s">
        <v>737</v>
      </c>
      <c r="E72" s="263"/>
      <c r="F72" s="263"/>
      <c r="G72" s="263"/>
      <c r="H72" s="263"/>
      <c r="I72" s="263"/>
      <c r="J72" s="262">
        <f t="shared" si="4"/>
        <v>925958</v>
      </c>
      <c r="K72" s="263"/>
      <c r="L72" s="263">
        <f>212000+433958</f>
        <v>645958</v>
      </c>
      <c r="M72" s="263"/>
      <c r="N72" s="263"/>
      <c r="O72" s="262">
        <f>280000</f>
        <v>280000</v>
      </c>
      <c r="P72" s="263">
        <f t="shared" si="2"/>
        <v>925958</v>
      </c>
    </row>
    <row r="73" spans="1:16" ht="48">
      <c r="A73" s="71" t="s">
        <v>738</v>
      </c>
      <c r="B73" s="71" t="s">
        <v>739</v>
      </c>
      <c r="C73" s="71" t="s">
        <v>740</v>
      </c>
      <c r="D73" s="56" t="s">
        <v>741</v>
      </c>
      <c r="E73" s="263">
        <f t="shared" si="10"/>
        <v>818788</v>
      </c>
      <c r="F73" s="263">
        <f>749450+69338</f>
        <v>818788</v>
      </c>
      <c r="G73" s="263"/>
      <c r="H73" s="263"/>
      <c r="I73" s="263"/>
      <c r="J73" s="262">
        <f t="shared" si="4"/>
        <v>0</v>
      </c>
      <c r="K73" s="263"/>
      <c r="L73" s="263"/>
      <c r="M73" s="263"/>
      <c r="N73" s="263"/>
      <c r="O73" s="262">
        <f t="shared" si="5"/>
        <v>0</v>
      </c>
      <c r="P73" s="263">
        <f t="shared" si="2"/>
        <v>818788</v>
      </c>
    </row>
    <row r="74" spans="1:16" ht="48.75" thickBot="1">
      <c r="A74" s="73" t="s">
        <v>742</v>
      </c>
      <c r="B74" s="73" t="s">
        <v>743</v>
      </c>
      <c r="C74" s="73" t="s">
        <v>740</v>
      </c>
      <c r="D74" s="59" t="s">
        <v>744</v>
      </c>
      <c r="E74" s="265">
        <f t="shared" si="10"/>
        <v>1270255</v>
      </c>
      <c r="F74" s="265">
        <f>1070455+199800</f>
        <v>1270255</v>
      </c>
      <c r="G74" s="265"/>
      <c r="H74" s="265"/>
      <c r="I74" s="265"/>
      <c r="J74" s="266">
        <f t="shared" si="4"/>
        <v>0</v>
      </c>
      <c r="K74" s="265"/>
      <c r="L74" s="265"/>
      <c r="M74" s="265"/>
      <c r="N74" s="265"/>
      <c r="O74" s="266">
        <f t="shared" si="5"/>
        <v>0</v>
      </c>
      <c r="P74" s="265">
        <f t="shared" si="2"/>
        <v>1270255</v>
      </c>
    </row>
    <row r="75" spans="1:16" s="15" customFormat="1" ht="69.75">
      <c r="A75" s="69" t="s">
        <v>745</v>
      </c>
      <c r="B75" s="69"/>
      <c r="C75" s="69"/>
      <c r="D75" s="48" t="s">
        <v>746</v>
      </c>
      <c r="E75" s="260">
        <f>E76</f>
        <v>279050959</v>
      </c>
      <c r="F75" s="260">
        <f aca="true" t="shared" si="11" ref="F75:N75">F76</f>
        <v>279050959</v>
      </c>
      <c r="G75" s="260">
        <f t="shared" si="11"/>
        <v>233159802</v>
      </c>
      <c r="H75" s="260">
        <f t="shared" si="11"/>
        <v>25763653</v>
      </c>
      <c r="I75" s="260">
        <f t="shared" si="11"/>
        <v>0</v>
      </c>
      <c r="J75" s="260">
        <f t="shared" si="11"/>
        <v>18248038</v>
      </c>
      <c r="K75" s="260">
        <f t="shared" si="11"/>
        <v>10163045</v>
      </c>
      <c r="L75" s="260">
        <f t="shared" si="11"/>
        <v>8084993</v>
      </c>
      <c r="M75" s="260">
        <f t="shared" si="11"/>
        <v>1371748</v>
      </c>
      <c r="N75" s="260">
        <f t="shared" si="11"/>
        <v>35707</v>
      </c>
      <c r="O75" s="267">
        <f t="shared" si="5"/>
        <v>10163045</v>
      </c>
      <c r="P75" s="260">
        <f t="shared" si="2"/>
        <v>297298997</v>
      </c>
    </row>
    <row r="76" spans="1:16" s="15" customFormat="1" ht="69.75">
      <c r="A76" s="70" t="s">
        <v>747</v>
      </c>
      <c r="B76" s="70"/>
      <c r="C76" s="70"/>
      <c r="D76" s="49" t="s">
        <v>746</v>
      </c>
      <c r="E76" s="261">
        <f>E77+E78+E79+E91+E92+E93+E94+E95+E102+E104+E101</f>
        <v>279050959</v>
      </c>
      <c r="F76" s="261">
        <f>F77+F78+F79+F91+F92+F93+F94+F95+F102+F104+F101</f>
        <v>279050959</v>
      </c>
      <c r="G76" s="261">
        <f>G77+G78+G79+G91+G92+G93+G94+G95+G102+G104+G101</f>
        <v>233159802</v>
      </c>
      <c r="H76" s="261">
        <f>H77+H78+H79+H91+H92+H93+H94+H95+H102+H104+H101</f>
        <v>25763653</v>
      </c>
      <c r="I76" s="261">
        <f>I77+I78+I79+I91+I92+I93+I94+I95+I102+I104</f>
        <v>0</v>
      </c>
      <c r="J76" s="261">
        <f aca="true" t="shared" si="12" ref="J76:O76">J77+J78+J79+J91+J92+J93+J94+J95+J102+J103+J104+J98</f>
        <v>18248038</v>
      </c>
      <c r="K76" s="261">
        <f t="shared" si="12"/>
        <v>10163045</v>
      </c>
      <c r="L76" s="261">
        <f t="shared" si="12"/>
        <v>8084993</v>
      </c>
      <c r="M76" s="261">
        <f t="shared" si="12"/>
        <v>1371748</v>
      </c>
      <c r="N76" s="261">
        <f t="shared" si="12"/>
        <v>35707</v>
      </c>
      <c r="O76" s="261">
        <f t="shared" si="12"/>
        <v>10163045</v>
      </c>
      <c r="P76" s="261">
        <f t="shared" si="2"/>
        <v>297298997</v>
      </c>
    </row>
    <row r="77" spans="1:16" ht="120">
      <c r="A77" s="71" t="s">
        <v>748</v>
      </c>
      <c r="B77" s="71" t="s">
        <v>749</v>
      </c>
      <c r="C77" s="71" t="s">
        <v>654</v>
      </c>
      <c r="D77" s="51" t="s">
        <v>750</v>
      </c>
      <c r="E77" s="263">
        <f>F77</f>
        <v>1648280</v>
      </c>
      <c r="F77" s="263">
        <f>1543305+87475+17500</f>
        <v>1648280</v>
      </c>
      <c r="G77" s="263">
        <f>1437782+87475</f>
        <v>1525257</v>
      </c>
      <c r="H77" s="263">
        <v>61615</v>
      </c>
      <c r="I77" s="263"/>
      <c r="J77" s="262">
        <f t="shared" si="4"/>
        <v>13000</v>
      </c>
      <c r="K77" s="263">
        <f>13000</f>
        <v>13000</v>
      </c>
      <c r="L77" s="263"/>
      <c r="M77" s="263"/>
      <c r="N77" s="263"/>
      <c r="O77" s="262">
        <f t="shared" si="5"/>
        <v>13000</v>
      </c>
      <c r="P77" s="263">
        <f t="shared" si="2"/>
        <v>1661280</v>
      </c>
    </row>
    <row r="78" spans="1:16" ht="29.25">
      <c r="A78" s="71" t="s">
        <v>751</v>
      </c>
      <c r="B78" s="71" t="s">
        <v>752</v>
      </c>
      <c r="C78" s="71" t="s">
        <v>753</v>
      </c>
      <c r="D78" s="51" t="s">
        <v>754</v>
      </c>
      <c r="E78" s="263">
        <f>F78</f>
        <v>88825529</v>
      </c>
      <c r="F78" s="263">
        <f>78894027+4672462+2490037-472825+3877569+28916-500000-16800-16000-12500-6794-49950+49950-22980-13588-10096-49899-16000</f>
        <v>88825529</v>
      </c>
      <c r="G78" s="263">
        <f>63227525+4140907+2061205+3196291</f>
        <v>72625928</v>
      </c>
      <c r="H78" s="263">
        <f>11705083+332650+292993-472824+428855-500000-49950-22980-13588-10096-49899-16000</f>
        <v>11624244</v>
      </c>
      <c r="I78" s="263"/>
      <c r="J78" s="262">
        <f t="shared" si="4"/>
        <v>5281390</v>
      </c>
      <c r="K78" s="263">
        <f>12000+16800+16800+16000+6794+22980+13588+16000+32000</f>
        <v>152962</v>
      </c>
      <c r="L78" s="263">
        <f>4487928+414750+225750</f>
        <v>5128428</v>
      </c>
      <c r="M78" s="263"/>
      <c r="N78" s="263"/>
      <c r="O78" s="262">
        <f t="shared" si="5"/>
        <v>152962</v>
      </c>
      <c r="P78" s="263">
        <f t="shared" si="2"/>
        <v>94106919</v>
      </c>
    </row>
    <row r="79" spans="1:16" ht="144">
      <c r="A79" s="71" t="s">
        <v>755</v>
      </c>
      <c r="B79" s="71" t="s">
        <v>756</v>
      </c>
      <c r="C79" s="71" t="s">
        <v>757</v>
      </c>
      <c r="D79" s="50" t="s">
        <v>124</v>
      </c>
      <c r="E79" s="263">
        <f>SUM(E81:E90)</f>
        <v>174224663</v>
      </c>
      <c r="F79" s="263">
        <f aca="true" t="shared" si="13" ref="F79:O79">SUM(F81:F90)</f>
        <v>174224663</v>
      </c>
      <c r="G79" s="263">
        <f t="shared" si="13"/>
        <v>145820662</v>
      </c>
      <c r="H79" s="263">
        <f t="shared" si="13"/>
        <v>13182197</v>
      </c>
      <c r="I79" s="263">
        <f t="shared" si="13"/>
        <v>0</v>
      </c>
      <c r="J79" s="263">
        <f t="shared" si="13"/>
        <v>4206405</v>
      </c>
      <c r="K79" s="263">
        <f t="shared" si="13"/>
        <v>1249840</v>
      </c>
      <c r="L79" s="263">
        <f t="shared" si="13"/>
        <v>2956565</v>
      </c>
      <c r="M79" s="263">
        <f t="shared" si="13"/>
        <v>1371748</v>
      </c>
      <c r="N79" s="263">
        <f t="shared" si="13"/>
        <v>35707</v>
      </c>
      <c r="O79" s="263">
        <f t="shared" si="13"/>
        <v>1249840</v>
      </c>
      <c r="P79" s="263">
        <f t="shared" si="2"/>
        <v>178431068</v>
      </c>
    </row>
    <row r="80" spans="1:16" ht="29.25" hidden="1">
      <c r="A80" s="71"/>
      <c r="B80" s="71"/>
      <c r="C80" s="71"/>
      <c r="D80" s="60" t="s">
        <v>656</v>
      </c>
      <c r="E80" s="263"/>
      <c r="F80" s="263"/>
      <c r="G80" s="263"/>
      <c r="H80" s="263"/>
      <c r="I80" s="263"/>
      <c r="J80" s="262">
        <f t="shared" si="4"/>
        <v>0</v>
      </c>
      <c r="K80" s="263"/>
      <c r="L80" s="263"/>
      <c r="M80" s="263"/>
      <c r="N80" s="263"/>
      <c r="O80" s="262">
        <f t="shared" si="5"/>
        <v>0</v>
      </c>
      <c r="P80" s="263">
        <f t="shared" si="2"/>
        <v>0</v>
      </c>
    </row>
    <row r="81" spans="1:16" ht="48" hidden="1">
      <c r="A81" s="71"/>
      <c r="B81" s="71"/>
      <c r="C81" s="71"/>
      <c r="D81" s="61" t="s">
        <v>758</v>
      </c>
      <c r="E81" s="263">
        <f>F81</f>
        <v>116266948</v>
      </c>
      <c r="F81" s="263">
        <f>94732600+18873+19297400+2775+2215300</f>
        <v>116266948</v>
      </c>
      <c r="G81" s="263">
        <f>94732600+18873+19297400+2775+2215300</f>
        <v>116266948</v>
      </c>
      <c r="H81" s="263"/>
      <c r="I81" s="263"/>
      <c r="J81" s="262">
        <f t="shared" si="4"/>
        <v>0</v>
      </c>
      <c r="K81" s="263"/>
      <c r="L81" s="263"/>
      <c r="M81" s="263"/>
      <c r="N81" s="263"/>
      <c r="O81" s="262">
        <f t="shared" si="5"/>
        <v>0</v>
      </c>
      <c r="P81" s="263">
        <f t="shared" si="2"/>
        <v>116266948</v>
      </c>
    </row>
    <row r="82" spans="1:16" ht="48" hidden="1">
      <c r="A82" s="71"/>
      <c r="B82" s="71"/>
      <c r="C82" s="71"/>
      <c r="D82" s="61" t="s">
        <v>759</v>
      </c>
      <c r="E82" s="263"/>
      <c r="F82" s="263"/>
      <c r="G82" s="263"/>
      <c r="H82" s="263"/>
      <c r="I82" s="263"/>
      <c r="J82" s="262">
        <f t="shared" si="4"/>
        <v>0</v>
      </c>
      <c r="K82" s="263"/>
      <c r="L82" s="263"/>
      <c r="M82" s="263"/>
      <c r="N82" s="263"/>
      <c r="O82" s="262">
        <f t="shared" si="5"/>
        <v>0</v>
      </c>
      <c r="P82" s="263">
        <f t="shared" si="2"/>
        <v>0</v>
      </c>
    </row>
    <row r="83" spans="1:16" ht="216" hidden="1">
      <c r="A83" s="71"/>
      <c r="B83" s="71"/>
      <c r="C83" s="71"/>
      <c r="D83" s="61" t="s">
        <v>760</v>
      </c>
      <c r="E83" s="263">
        <f>F83</f>
        <v>2438612</v>
      </c>
      <c r="F83" s="263">
        <f>1536303+1877-328856+174825+1054463</f>
        <v>2438612</v>
      </c>
      <c r="G83" s="263"/>
      <c r="H83" s="263"/>
      <c r="I83" s="263"/>
      <c r="J83" s="262">
        <f t="shared" si="4"/>
        <v>346153</v>
      </c>
      <c r="K83" s="263">
        <f>520437+541-174825</f>
        <v>346153</v>
      </c>
      <c r="L83" s="263"/>
      <c r="M83" s="263"/>
      <c r="N83" s="263"/>
      <c r="O83" s="262">
        <f t="shared" si="5"/>
        <v>346153</v>
      </c>
      <c r="P83" s="263">
        <f>J83+E83</f>
        <v>2784765</v>
      </c>
    </row>
    <row r="84" spans="1:16" ht="216" hidden="1">
      <c r="A84" s="71"/>
      <c r="B84" s="71"/>
      <c r="C84" s="71"/>
      <c r="D84" s="61" t="s">
        <v>592</v>
      </c>
      <c r="E84" s="263">
        <f>F84</f>
        <v>755555</v>
      </c>
      <c r="F84" s="263">
        <f>135900+38441+113250+467964</f>
        <v>755555</v>
      </c>
      <c r="G84" s="263">
        <f>135900+38441+113250+467964</f>
        <v>755555</v>
      </c>
      <c r="H84" s="263"/>
      <c r="I84" s="263"/>
      <c r="J84" s="262">
        <f t="shared" si="4"/>
        <v>219417</v>
      </c>
      <c r="K84" s="263">
        <f>O84</f>
        <v>219417</v>
      </c>
      <c r="L84" s="263"/>
      <c r="M84" s="263"/>
      <c r="N84" s="263"/>
      <c r="O84" s="262">
        <f>144000+120000-44583</f>
        <v>219417</v>
      </c>
      <c r="P84" s="263">
        <f t="shared" si="2"/>
        <v>974972</v>
      </c>
    </row>
    <row r="85" spans="1:16" ht="168" hidden="1">
      <c r="A85" s="71"/>
      <c r="B85" s="71"/>
      <c r="C85" s="71"/>
      <c r="D85" s="61" t="s">
        <v>761</v>
      </c>
      <c r="E85" s="263"/>
      <c r="F85" s="263"/>
      <c r="G85" s="263"/>
      <c r="H85" s="263"/>
      <c r="I85" s="263"/>
      <c r="J85" s="262">
        <f t="shared" si="4"/>
        <v>0</v>
      </c>
      <c r="K85" s="263"/>
      <c r="L85" s="263"/>
      <c r="M85" s="263"/>
      <c r="N85" s="263"/>
      <c r="O85" s="262">
        <f t="shared" si="5"/>
        <v>0</v>
      </c>
      <c r="P85" s="263">
        <f t="shared" si="2"/>
        <v>0</v>
      </c>
    </row>
    <row r="86" spans="1:16" ht="192" hidden="1">
      <c r="A86" s="71"/>
      <c r="B86" s="71"/>
      <c r="C86" s="71"/>
      <c r="D86" s="61" t="s">
        <v>762</v>
      </c>
      <c r="E86" s="263"/>
      <c r="F86" s="263"/>
      <c r="G86" s="263"/>
      <c r="H86" s="263"/>
      <c r="I86" s="263"/>
      <c r="J86" s="262">
        <f t="shared" si="4"/>
        <v>0</v>
      </c>
      <c r="K86" s="263"/>
      <c r="L86" s="263"/>
      <c r="M86" s="263"/>
      <c r="N86" s="263"/>
      <c r="O86" s="262">
        <f t="shared" si="5"/>
        <v>0</v>
      </c>
      <c r="P86" s="263">
        <f t="shared" si="2"/>
        <v>0</v>
      </c>
    </row>
    <row r="87" spans="1:16" ht="216" hidden="1">
      <c r="A87" s="71"/>
      <c r="B87" s="71"/>
      <c r="C87" s="71"/>
      <c r="D87" s="83" t="s">
        <v>107</v>
      </c>
      <c r="E87" s="263">
        <f>F87</f>
        <v>2256800</v>
      </c>
      <c r="F87" s="263">
        <f>1256800+1000000</f>
        <v>2256800</v>
      </c>
      <c r="G87" s="263"/>
      <c r="H87" s="263">
        <v>1256800</v>
      </c>
      <c r="I87" s="263"/>
      <c r="J87" s="262"/>
      <c r="K87" s="263"/>
      <c r="L87" s="263"/>
      <c r="M87" s="263"/>
      <c r="N87" s="263"/>
      <c r="O87" s="262"/>
      <c r="P87" s="263">
        <f t="shared" si="2"/>
        <v>2256800</v>
      </c>
    </row>
    <row r="88" spans="1:16" ht="144" hidden="1">
      <c r="A88" s="71"/>
      <c r="B88" s="71"/>
      <c r="C88" s="71"/>
      <c r="D88" s="84" t="s">
        <v>120</v>
      </c>
      <c r="E88" s="263"/>
      <c r="F88" s="263"/>
      <c r="G88" s="263"/>
      <c r="H88" s="263"/>
      <c r="I88" s="263"/>
      <c r="J88" s="262">
        <f>K88+L88</f>
        <v>0</v>
      </c>
      <c r="K88" s="263"/>
      <c r="L88" s="263"/>
      <c r="M88" s="263"/>
      <c r="N88" s="263">
        <f>K88</f>
        <v>0</v>
      </c>
      <c r="O88" s="262"/>
      <c r="P88" s="263">
        <f t="shared" si="2"/>
        <v>0</v>
      </c>
    </row>
    <row r="89" spans="1:16" ht="144.75" hidden="1" thickBot="1">
      <c r="A89" s="71"/>
      <c r="B89" s="71"/>
      <c r="C89" s="71"/>
      <c r="D89" s="64" t="s">
        <v>368</v>
      </c>
      <c r="E89" s="263">
        <f>F89</f>
        <v>238286</v>
      </c>
      <c r="F89" s="263">
        <f>15190+223096</f>
        <v>238286</v>
      </c>
      <c r="G89" s="263"/>
      <c r="H89" s="263"/>
      <c r="I89" s="263"/>
      <c r="J89" s="262">
        <f>K89+L89</f>
        <v>479017</v>
      </c>
      <c r="K89" s="263">
        <f>132769+346248</f>
        <v>479017</v>
      </c>
      <c r="L89" s="263"/>
      <c r="M89" s="263"/>
      <c r="N89" s="263"/>
      <c r="O89" s="262">
        <f>K89</f>
        <v>479017</v>
      </c>
      <c r="P89" s="263">
        <f t="shared" si="2"/>
        <v>717303</v>
      </c>
    </row>
    <row r="90" spans="1:16" ht="29.25" hidden="1">
      <c r="A90" s="71"/>
      <c r="B90" s="71"/>
      <c r="C90" s="71"/>
      <c r="D90" s="51" t="s">
        <v>671</v>
      </c>
      <c r="E90" s="263">
        <f aca="true" t="shared" si="14" ref="E90:E102">F90</f>
        <v>52268462</v>
      </c>
      <c r="F90" s="263">
        <f>51371014+2284676-671908+2418084+1380210-1256800+34340+38094+517478-45716-3313+6510-105436+804-2000000-102723-400718-56663-49185-500000-112748-45503-373004-59031</f>
        <v>52268462</v>
      </c>
      <c r="G90" s="263">
        <f>26001972+1356916+1439271</f>
        <v>28798159</v>
      </c>
      <c r="H90" s="263">
        <f>15460808+607240-671909+503340-1256800-2000000-500000-112748-45503-59031</f>
        <v>11925397</v>
      </c>
      <c r="I90" s="263"/>
      <c r="J90" s="262">
        <f t="shared" si="4"/>
        <v>3161818</v>
      </c>
      <c r="K90" s="263">
        <f>148120+56901+232</f>
        <v>205253</v>
      </c>
      <c r="L90" s="263">
        <f>2719655+24750+212160</f>
        <v>2956565</v>
      </c>
      <c r="M90" s="263">
        <f>1124382+247366</f>
        <v>1371748</v>
      </c>
      <c r="N90" s="263">
        <f>35707</f>
        <v>35707</v>
      </c>
      <c r="O90" s="262">
        <f t="shared" si="5"/>
        <v>205253</v>
      </c>
      <c r="P90" s="263">
        <f t="shared" si="2"/>
        <v>55430280</v>
      </c>
    </row>
    <row r="91" spans="1:16" ht="120">
      <c r="A91" s="71" t="s">
        <v>763</v>
      </c>
      <c r="B91" s="71" t="s">
        <v>692</v>
      </c>
      <c r="C91" s="71" t="s">
        <v>764</v>
      </c>
      <c r="D91" s="51" t="s">
        <v>125</v>
      </c>
      <c r="E91" s="263">
        <f t="shared" si="14"/>
        <v>6251457</v>
      </c>
      <c r="F91" s="263">
        <f>6250010+11119-5443-4229</f>
        <v>6251457</v>
      </c>
      <c r="G91" s="263">
        <v>5836040</v>
      </c>
      <c r="H91" s="263">
        <v>348110</v>
      </c>
      <c r="I91" s="263"/>
      <c r="J91" s="262">
        <f t="shared" si="4"/>
        <v>0</v>
      </c>
      <c r="K91" s="263"/>
      <c r="L91" s="263"/>
      <c r="M91" s="263"/>
      <c r="N91" s="263"/>
      <c r="O91" s="262">
        <f t="shared" si="5"/>
        <v>0</v>
      </c>
      <c r="P91" s="263">
        <f t="shared" si="2"/>
        <v>6251457</v>
      </c>
    </row>
    <row r="92" spans="1:16" ht="48">
      <c r="A92" s="71" t="s">
        <v>765</v>
      </c>
      <c r="B92" s="71" t="s">
        <v>766</v>
      </c>
      <c r="C92" s="71" t="s">
        <v>767</v>
      </c>
      <c r="D92" s="51" t="s">
        <v>126</v>
      </c>
      <c r="E92" s="263">
        <f t="shared" si="14"/>
        <v>1458620</v>
      </c>
      <c r="F92" s="263">
        <f>1453177+5443</f>
        <v>1458620</v>
      </c>
      <c r="G92" s="263">
        <v>1381902</v>
      </c>
      <c r="H92" s="263">
        <v>44964</v>
      </c>
      <c r="I92" s="263"/>
      <c r="J92" s="262">
        <f t="shared" si="4"/>
        <v>0</v>
      </c>
      <c r="K92" s="263"/>
      <c r="L92" s="263"/>
      <c r="M92" s="263"/>
      <c r="N92" s="263"/>
      <c r="O92" s="262">
        <f t="shared" si="5"/>
        <v>0</v>
      </c>
      <c r="P92" s="263">
        <f t="shared" si="2"/>
        <v>1458620</v>
      </c>
    </row>
    <row r="93" spans="1:16" ht="72">
      <c r="A93" s="71" t="s">
        <v>768</v>
      </c>
      <c r="B93" s="71" t="s">
        <v>769</v>
      </c>
      <c r="C93" s="71" t="s">
        <v>767</v>
      </c>
      <c r="D93" s="62" t="s">
        <v>770</v>
      </c>
      <c r="E93" s="263">
        <f t="shared" si="14"/>
        <v>2446516</v>
      </c>
      <c r="F93" s="263">
        <v>2446516</v>
      </c>
      <c r="G93" s="263">
        <f>2067809+229809</f>
        <v>2297618</v>
      </c>
      <c r="H93" s="263">
        <v>76668</v>
      </c>
      <c r="I93" s="263"/>
      <c r="J93" s="262">
        <f t="shared" si="4"/>
        <v>35000</v>
      </c>
      <c r="K93" s="263">
        <f>35000</f>
        <v>35000</v>
      </c>
      <c r="L93" s="263"/>
      <c r="M93" s="263"/>
      <c r="N93" s="263"/>
      <c r="O93" s="262">
        <f t="shared" si="5"/>
        <v>35000</v>
      </c>
      <c r="P93" s="263">
        <f t="shared" si="2"/>
        <v>2481516</v>
      </c>
    </row>
    <row r="94" spans="1:18" ht="48">
      <c r="A94" s="71" t="s">
        <v>771</v>
      </c>
      <c r="B94" s="71" t="s">
        <v>772</v>
      </c>
      <c r="C94" s="71" t="s">
        <v>767</v>
      </c>
      <c r="D94" s="51" t="s">
        <v>773</v>
      </c>
      <c r="E94" s="262">
        <f t="shared" si="14"/>
        <v>30770</v>
      </c>
      <c r="F94" s="262">
        <v>30770</v>
      </c>
      <c r="G94" s="262"/>
      <c r="H94" s="262"/>
      <c r="I94" s="262"/>
      <c r="J94" s="262">
        <f t="shared" si="4"/>
        <v>0</v>
      </c>
      <c r="K94" s="262"/>
      <c r="L94" s="262"/>
      <c r="M94" s="262"/>
      <c r="N94" s="262"/>
      <c r="O94" s="262">
        <f t="shared" si="5"/>
        <v>0</v>
      </c>
      <c r="P94" s="263">
        <f t="shared" si="2"/>
        <v>30770</v>
      </c>
      <c r="R94" s="239"/>
    </row>
    <row r="95" spans="1:16" ht="72">
      <c r="A95" s="71" t="s">
        <v>774</v>
      </c>
      <c r="B95" s="71" t="s">
        <v>775</v>
      </c>
      <c r="C95" s="71" t="s">
        <v>767</v>
      </c>
      <c r="D95" s="51" t="s">
        <v>776</v>
      </c>
      <c r="E95" s="268">
        <f>SUM(E96:E97)</f>
        <v>1137204</v>
      </c>
      <c r="F95" s="268">
        <f aca="true" t="shared" si="15" ref="F95:O95">SUM(F96:F97)</f>
        <v>1137204</v>
      </c>
      <c r="G95" s="268">
        <f t="shared" si="15"/>
        <v>1068076</v>
      </c>
      <c r="H95" s="268">
        <f t="shared" si="15"/>
        <v>63385</v>
      </c>
      <c r="I95" s="268">
        <f t="shared" si="15"/>
        <v>0</v>
      </c>
      <c r="J95" s="268">
        <f t="shared" si="15"/>
        <v>0</v>
      </c>
      <c r="K95" s="268">
        <f t="shared" si="15"/>
        <v>0</v>
      </c>
      <c r="L95" s="268">
        <f t="shared" si="15"/>
        <v>0</v>
      </c>
      <c r="M95" s="268">
        <f t="shared" si="15"/>
        <v>0</v>
      </c>
      <c r="N95" s="268">
        <f t="shared" si="15"/>
        <v>0</v>
      </c>
      <c r="O95" s="268">
        <f t="shared" si="15"/>
        <v>0</v>
      </c>
      <c r="P95" s="263">
        <f aca="true" t="shared" si="16" ref="P95:P101">E95+J95</f>
        <v>1137204</v>
      </c>
    </row>
    <row r="96" spans="1:16" ht="120" hidden="1">
      <c r="A96" s="74"/>
      <c r="B96" s="74"/>
      <c r="C96" s="74"/>
      <c r="D96" s="63" t="s">
        <v>108</v>
      </c>
      <c r="E96" s="269">
        <f>F96</f>
        <v>882064</v>
      </c>
      <c r="F96" s="269">
        <f>844767+37297</f>
        <v>882064</v>
      </c>
      <c r="G96" s="269">
        <f>844767+37297</f>
        <v>882064</v>
      </c>
      <c r="H96" s="269"/>
      <c r="I96" s="269"/>
      <c r="J96" s="269"/>
      <c r="K96" s="269"/>
      <c r="L96" s="269"/>
      <c r="M96" s="269"/>
      <c r="N96" s="269"/>
      <c r="O96" s="269"/>
      <c r="P96" s="263">
        <f t="shared" si="16"/>
        <v>882064</v>
      </c>
    </row>
    <row r="97" spans="1:16" ht="29.25" hidden="1">
      <c r="A97" s="74"/>
      <c r="B97" s="74"/>
      <c r="C97" s="74"/>
      <c r="D97" s="63" t="s">
        <v>671</v>
      </c>
      <c r="E97" s="262">
        <f>F97</f>
        <v>255140</v>
      </c>
      <c r="F97" s="262">
        <v>255140</v>
      </c>
      <c r="G97" s="262">
        <v>186012</v>
      </c>
      <c r="H97" s="262">
        <v>63385</v>
      </c>
      <c r="I97" s="269"/>
      <c r="J97" s="269"/>
      <c r="K97" s="269"/>
      <c r="L97" s="269"/>
      <c r="M97" s="269"/>
      <c r="N97" s="269"/>
      <c r="O97" s="269"/>
      <c r="P97" s="263">
        <f t="shared" si="16"/>
        <v>255140</v>
      </c>
    </row>
    <row r="98" spans="1:16" ht="96">
      <c r="A98" s="74" t="s">
        <v>575</v>
      </c>
      <c r="B98" s="74" t="s">
        <v>576</v>
      </c>
      <c r="C98" s="74" t="s">
        <v>767</v>
      </c>
      <c r="D98" s="243" t="s">
        <v>577</v>
      </c>
      <c r="E98" s="269"/>
      <c r="F98" s="269"/>
      <c r="G98" s="269"/>
      <c r="H98" s="269"/>
      <c r="I98" s="269"/>
      <c r="J98" s="269">
        <f aca="true" t="shared" si="17" ref="J98:O98">J99+J100</f>
        <v>1135725</v>
      </c>
      <c r="K98" s="269">
        <f t="shared" si="17"/>
        <v>1135725</v>
      </c>
      <c r="L98" s="269">
        <f t="shared" si="17"/>
        <v>0</v>
      </c>
      <c r="M98" s="269">
        <f t="shared" si="17"/>
        <v>0</v>
      </c>
      <c r="N98" s="269">
        <f t="shared" si="17"/>
        <v>0</v>
      </c>
      <c r="O98" s="269">
        <f t="shared" si="17"/>
        <v>1135725</v>
      </c>
      <c r="P98" s="263">
        <f t="shared" si="16"/>
        <v>1135725</v>
      </c>
    </row>
    <row r="99" spans="1:16" ht="29.25" hidden="1">
      <c r="A99" s="74"/>
      <c r="B99" s="74"/>
      <c r="C99" s="74"/>
      <c r="D99" s="63" t="s">
        <v>578</v>
      </c>
      <c r="E99" s="269"/>
      <c r="F99" s="269"/>
      <c r="G99" s="269"/>
      <c r="H99" s="269"/>
      <c r="I99" s="269"/>
      <c r="J99" s="262">
        <f t="shared" si="4"/>
        <v>795007</v>
      </c>
      <c r="K99" s="269">
        <v>795007</v>
      </c>
      <c r="L99" s="269"/>
      <c r="M99" s="269"/>
      <c r="N99" s="269"/>
      <c r="O99" s="262">
        <f t="shared" si="5"/>
        <v>795007</v>
      </c>
      <c r="P99" s="263">
        <f t="shared" si="16"/>
        <v>795007</v>
      </c>
    </row>
    <row r="100" spans="1:16" ht="29.25" hidden="1">
      <c r="A100" s="74"/>
      <c r="B100" s="74"/>
      <c r="C100" s="74"/>
      <c r="D100" s="63" t="s">
        <v>671</v>
      </c>
      <c r="E100" s="269"/>
      <c r="F100" s="269"/>
      <c r="G100" s="269"/>
      <c r="H100" s="269"/>
      <c r="I100" s="269"/>
      <c r="J100" s="262">
        <f t="shared" si="4"/>
        <v>340718</v>
      </c>
      <c r="K100" s="269">
        <v>340718</v>
      </c>
      <c r="L100" s="269"/>
      <c r="M100" s="269"/>
      <c r="N100" s="269"/>
      <c r="O100" s="262">
        <f t="shared" si="5"/>
        <v>340718</v>
      </c>
      <c r="P100" s="263">
        <f t="shared" si="16"/>
        <v>340718</v>
      </c>
    </row>
    <row r="101" spans="1:16" ht="48">
      <c r="A101" s="74" t="s">
        <v>150</v>
      </c>
      <c r="B101" s="74" t="s">
        <v>151</v>
      </c>
      <c r="C101" s="74" t="s">
        <v>152</v>
      </c>
      <c r="D101" s="63" t="s">
        <v>153</v>
      </c>
      <c r="E101" s="269">
        <f>F101</f>
        <v>2880</v>
      </c>
      <c r="F101" s="269">
        <v>2880</v>
      </c>
      <c r="G101" s="269">
        <v>2880</v>
      </c>
      <c r="H101" s="269"/>
      <c r="I101" s="269"/>
      <c r="J101" s="269"/>
      <c r="K101" s="269"/>
      <c r="L101" s="269"/>
      <c r="M101" s="269"/>
      <c r="N101" s="269"/>
      <c r="O101" s="269"/>
      <c r="P101" s="270">
        <f t="shared" si="16"/>
        <v>2880</v>
      </c>
    </row>
    <row r="102" spans="1:16" ht="96">
      <c r="A102" s="71" t="s">
        <v>777</v>
      </c>
      <c r="B102" s="71" t="s">
        <v>778</v>
      </c>
      <c r="C102" s="71" t="s">
        <v>779</v>
      </c>
      <c r="D102" s="51" t="s">
        <v>780</v>
      </c>
      <c r="E102" s="262">
        <f t="shared" si="14"/>
        <v>3025040</v>
      </c>
      <c r="F102" s="262">
        <f>2698420+331620-5000</f>
        <v>3025040</v>
      </c>
      <c r="G102" s="262">
        <f>2269819+331620</f>
        <v>2601439</v>
      </c>
      <c r="H102" s="262">
        <v>362470</v>
      </c>
      <c r="I102" s="262"/>
      <c r="J102" s="262">
        <f t="shared" si="4"/>
        <v>10000</v>
      </c>
      <c r="K102" s="262">
        <f>10000</f>
        <v>10000</v>
      </c>
      <c r="L102" s="262"/>
      <c r="M102" s="262"/>
      <c r="N102" s="262"/>
      <c r="O102" s="262">
        <f t="shared" si="5"/>
        <v>10000</v>
      </c>
      <c r="P102" s="263">
        <f t="shared" si="2"/>
        <v>3035040</v>
      </c>
    </row>
    <row r="103" spans="1:16" ht="48.75" thickBot="1">
      <c r="A103" s="73" t="s">
        <v>128</v>
      </c>
      <c r="B103" s="73" t="s">
        <v>129</v>
      </c>
      <c r="C103" s="73" t="s">
        <v>718</v>
      </c>
      <c r="D103" s="64" t="s">
        <v>130</v>
      </c>
      <c r="E103" s="266"/>
      <c r="F103" s="266"/>
      <c r="G103" s="266"/>
      <c r="H103" s="266"/>
      <c r="I103" s="266"/>
      <c r="J103" s="266">
        <f aca="true" t="shared" si="18" ref="J103:O103">J105+J107+J106</f>
        <v>7566518</v>
      </c>
      <c r="K103" s="266">
        <f t="shared" si="18"/>
        <v>7566518</v>
      </c>
      <c r="L103" s="266">
        <f t="shared" si="18"/>
        <v>0</v>
      </c>
      <c r="M103" s="266">
        <f t="shared" si="18"/>
        <v>0</v>
      </c>
      <c r="N103" s="266">
        <f t="shared" si="18"/>
        <v>0</v>
      </c>
      <c r="O103" s="266">
        <f t="shared" si="18"/>
        <v>7566518</v>
      </c>
      <c r="P103" s="265">
        <f t="shared" si="2"/>
        <v>7566518</v>
      </c>
    </row>
    <row r="104" spans="1:16" ht="120" hidden="1">
      <c r="A104" s="76" t="s">
        <v>95</v>
      </c>
      <c r="B104" s="76" t="s">
        <v>96</v>
      </c>
      <c r="C104" s="76" t="s">
        <v>719</v>
      </c>
      <c r="D104" s="61" t="s">
        <v>97</v>
      </c>
      <c r="E104" s="271"/>
      <c r="F104" s="271"/>
      <c r="G104" s="271"/>
      <c r="H104" s="271"/>
      <c r="I104" s="271"/>
      <c r="J104" s="271">
        <f t="shared" si="4"/>
        <v>0</v>
      </c>
      <c r="K104" s="271">
        <f>597771-597771</f>
        <v>0</v>
      </c>
      <c r="L104" s="271"/>
      <c r="M104" s="271"/>
      <c r="N104" s="271"/>
      <c r="O104" s="271">
        <f>K104</f>
        <v>0</v>
      </c>
      <c r="P104" s="272">
        <f t="shared" si="2"/>
        <v>0</v>
      </c>
    </row>
    <row r="105" spans="1:16" ht="29.25" hidden="1">
      <c r="A105" s="71" t="s">
        <v>128</v>
      </c>
      <c r="B105" s="71"/>
      <c r="C105" s="71"/>
      <c r="D105" s="51" t="s">
        <v>367</v>
      </c>
      <c r="E105" s="262"/>
      <c r="F105" s="262"/>
      <c r="G105" s="262"/>
      <c r="H105" s="262"/>
      <c r="I105" s="262"/>
      <c r="J105" s="262">
        <f>O105+L105</f>
        <v>7330877</v>
      </c>
      <c r="K105" s="262">
        <f>458596+3586541+251261+46683+2049486+40989+3313+60000-324323+380986+49185+49900+62848+45503+4229+373004+10096+49899+59031+49879+23771</f>
        <v>7330877</v>
      </c>
      <c r="L105" s="262"/>
      <c r="M105" s="262"/>
      <c r="N105" s="262"/>
      <c r="O105" s="262">
        <f>K105</f>
        <v>7330877</v>
      </c>
      <c r="P105" s="263">
        <f t="shared" si="2"/>
        <v>7330877</v>
      </c>
    </row>
    <row r="106" spans="1:16" ht="29.25" hidden="1">
      <c r="A106" s="74" t="s">
        <v>128</v>
      </c>
      <c r="B106" s="74"/>
      <c r="C106" s="74"/>
      <c r="D106" s="63" t="s">
        <v>579</v>
      </c>
      <c r="E106" s="269"/>
      <c r="F106" s="269"/>
      <c r="G106" s="269"/>
      <c r="H106" s="269"/>
      <c r="I106" s="269"/>
      <c r="J106" s="262">
        <f>O106+L106</f>
        <v>140000</v>
      </c>
      <c r="K106" s="269">
        <v>140000</v>
      </c>
      <c r="L106" s="269"/>
      <c r="M106" s="269"/>
      <c r="N106" s="269"/>
      <c r="O106" s="262">
        <f>K106</f>
        <v>140000</v>
      </c>
      <c r="P106" s="263">
        <f t="shared" si="2"/>
        <v>140000</v>
      </c>
    </row>
    <row r="107" spans="1:16" ht="144.75" hidden="1" thickBot="1">
      <c r="A107" s="73" t="s">
        <v>128</v>
      </c>
      <c r="B107" s="73"/>
      <c r="C107" s="73"/>
      <c r="D107" s="64" t="s">
        <v>368</v>
      </c>
      <c r="E107" s="266"/>
      <c r="F107" s="266"/>
      <c r="G107" s="266"/>
      <c r="H107" s="266"/>
      <c r="I107" s="266"/>
      <c r="J107" s="266">
        <f>O107+L107</f>
        <v>95641</v>
      </c>
      <c r="K107" s="266">
        <f>95641</f>
        <v>95641</v>
      </c>
      <c r="L107" s="266"/>
      <c r="M107" s="266"/>
      <c r="N107" s="266"/>
      <c r="O107" s="266">
        <f>K107</f>
        <v>95641</v>
      </c>
      <c r="P107" s="265">
        <f t="shared" si="2"/>
        <v>95641</v>
      </c>
    </row>
    <row r="108" spans="1:19" s="15" customFormat="1" ht="125.25" customHeight="1">
      <c r="A108" s="69" t="s">
        <v>781</v>
      </c>
      <c r="B108" s="69"/>
      <c r="C108" s="69"/>
      <c r="D108" s="48" t="s">
        <v>782</v>
      </c>
      <c r="E108" s="267">
        <f aca="true" t="shared" si="19" ref="E108:N108">E109</f>
        <v>23409400</v>
      </c>
      <c r="F108" s="267">
        <f t="shared" si="19"/>
        <v>23409400</v>
      </c>
      <c r="G108" s="267">
        <f t="shared" si="19"/>
        <v>17214297</v>
      </c>
      <c r="H108" s="267">
        <f t="shared" si="19"/>
        <v>702350</v>
      </c>
      <c r="I108" s="267">
        <f t="shared" si="19"/>
        <v>0</v>
      </c>
      <c r="J108" s="309">
        <f t="shared" si="19"/>
        <v>859667.61</v>
      </c>
      <c r="K108" s="309">
        <f t="shared" si="19"/>
        <v>800267.61</v>
      </c>
      <c r="L108" s="267">
        <f t="shared" si="19"/>
        <v>59400</v>
      </c>
      <c r="M108" s="267">
        <f t="shared" si="19"/>
        <v>0</v>
      </c>
      <c r="N108" s="267">
        <f t="shared" si="19"/>
        <v>6588</v>
      </c>
      <c r="O108" s="309">
        <f t="shared" si="5"/>
        <v>800267.61</v>
      </c>
      <c r="P108" s="311">
        <f t="shared" si="2"/>
        <v>24269067.61</v>
      </c>
      <c r="R108" s="252"/>
      <c r="S108" s="252"/>
    </row>
    <row r="109" spans="1:16" s="15" customFormat="1" ht="128.25" customHeight="1">
      <c r="A109" s="70" t="s">
        <v>783</v>
      </c>
      <c r="B109" s="70"/>
      <c r="C109" s="70"/>
      <c r="D109" s="49" t="s">
        <v>782</v>
      </c>
      <c r="E109" s="273">
        <f aca="true" t="shared" si="20" ref="E109:N109">SUM(E110:E132)</f>
        <v>23409400</v>
      </c>
      <c r="F109" s="273">
        <f t="shared" si="20"/>
        <v>23409400</v>
      </c>
      <c r="G109" s="273">
        <f t="shared" si="20"/>
        <v>17214297</v>
      </c>
      <c r="H109" s="273">
        <f t="shared" si="20"/>
        <v>702350</v>
      </c>
      <c r="I109" s="274">
        <f t="shared" si="20"/>
        <v>0</v>
      </c>
      <c r="J109" s="310">
        <f t="shared" si="20"/>
        <v>859667.61</v>
      </c>
      <c r="K109" s="310">
        <f t="shared" si="20"/>
        <v>800267.61</v>
      </c>
      <c r="L109" s="273">
        <f t="shared" si="20"/>
        <v>59400</v>
      </c>
      <c r="M109" s="273">
        <f t="shared" si="20"/>
        <v>0</v>
      </c>
      <c r="N109" s="273">
        <f t="shared" si="20"/>
        <v>6588</v>
      </c>
      <c r="O109" s="310">
        <f t="shared" si="5"/>
        <v>800267.61</v>
      </c>
      <c r="P109" s="312">
        <f t="shared" si="2"/>
        <v>24269067.61</v>
      </c>
    </row>
    <row r="110" spans="1:16" ht="120">
      <c r="A110" s="71" t="s">
        <v>784</v>
      </c>
      <c r="B110" s="71" t="s">
        <v>749</v>
      </c>
      <c r="C110" s="71" t="s">
        <v>654</v>
      </c>
      <c r="D110" s="51" t="s">
        <v>750</v>
      </c>
      <c r="E110" s="262">
        <f aca="true" t="shared" si="21" ref="E110:E132">F110</f>
        <v>10956569</v>
      </c>
      <c r="F110" s="262">
        <f>10545242-4977+425035-8731</f>
        <v>10956569</v>
      </c>
      <c r="G110" s="262">
        <f>10090886+425035</f>
        <v>10515921</v>
      </c>
      <c r="H110" s="262">
        <f>248614-4977-8731</f>
        <v>234906</v>
      </c>
      <c r="I110" s="262"/>
      <c r="J110" s="262">
        <f t="shared" si="4"/>
        <v>0</v>
      </c>
      <c r="K110" s="262"/>
      <c r="L110" s="262"/>
      <c r="M110" s="262"/>
      <c r="N110" s="262"/>
      <c r="O110" s="262">
        <f t="shared" si="5"/>
        <v>0</v>
      </c>
      <c r="P110" s="263">
        <f t="shared" si="2"/>
        <v>10956569</v>
      </c>
    </row>
    <row r="111" spans="1:16" ht="96">
      <c r="A111" s="71" t="s">
        <v>59</v>
      </c>
      <c r="B111" s="71" t="s">
        <v>60</v>
      </c>
      <c r="C111" s="75" t="s">
        <v>688</v>
      </c>
      <c r="D111" s="50" t="s">
        <v>61</v>
      </c>
      <c r="E111" s="262">
        <f t="shared" si="21"/>
        <v>22260</v>
      </c>
      <c r="F111" s="262">
        <v>22260</v>
      </c>
      <c r="G111" s="262"/>
      <c r="H111" s="262"/>
      <c r="I111" s="262"/>
      <c r="J111" s="262">
        <f t="shared" si="4"/>
        <v>0</v>
      </c>
      <c r="K111" s="262"/>
      <c r="L111" s="262"/>
      <c r="M111" s="262"/>
      <c r="N111" s="262"/>
      <c r="O111" s="262">
        <f t="shared" si="5"/>
        <v>0</v>
      </c>
      <c r="P111" s="263">
        <f t="shared" si="2"/>
        <v>22260</v>
      </c>
    </row>
    <row r="112" spans="1:16" ht="72">
      <c r="A112" s="71" t="s">
        <v>62</v>
      </c>
      <c r="B112" s="71" t="s">
        <v>63</v>
      </c>
      <c r="C112" s="75" t="s">
        <v>64</v>
      </c>
      <c r="D112" s="50" t="s">
        <v>65</v>
      </c>
      <c r="E112" s="262">
        <f t="shared" si="21"/>
        <v>122309</v>
      </c>
      <c r="F112" s="262">
        <f>155360-33051</f>
        <v>122309</v>
      </c>
      <c r="G112" s="262"/>
      <c r="H112" s="262"/>
      <c r="I112" s="262"/>
      <c r="J112" s="262">
        <f t="shared" si="4"/>
        <v>0</v>
      </c>
      <c r="K112" s="262"/>
      <c r="L112" s="262"/>
      <c r="M112" s="262"/>
      <c r="N112" s="262"/>
      <c r="O112" s="262">
        <f t="shared" si="5"/>
        <v>0</v>
      </c>
      <c r="P112" s="263">
        <f t="shared" si="2"/>
        <v>122309</v>
      </c>
    </row>
    <row r="113" spans="1:16" ht="120">
      <c r="A113" s="71" t="s">
        <v>66</v>
      </c>
      <c r="B113" s="71" t="s">
        <v>67</v>
      </c>
      <c r="C113" s="75" t="s">
        <v>64</v>
      </c>
      <c r="D113" s="50" t="s">
        <v>68</v>
      </c>
      <c r="E113" s="262">
        <f t="shared" si="21"/>
        <v>2189367</v>
      </c>
      <c r="F113" s="262">
        <f>2800000-450000-160633</f>
        <v>2189367</v>
      </c>
      <c r="G113" s="262"/>
      <c r="H113" s="262"/>
      <c r="I113" s="262"/>
      <c r="J113" s="262">
        <f t="shared" si="4"/>
        <v>0</v>
      </c>
      <c r="K113" s="262"/>
      <c r="L113" s="262"/>
      <c r="M113" s="262"/>
      <c r="N113" s="262"/>
      <c r="O113" s="262">
        <f t="shared" si="5"/>
        <v>0</v>
      </c>
      <c r="P113" s="263">
        <f t="shared" si="2"/>
        <v>2189367</v>
      </c>
    </row>
    <row r="114" spans="1:16" ht="96">
      <c r="A114" s="74" t="s">
        <v>69</v>
      </c>
      <c r="B114" s="74" t="s">
        <v>70</v>
      </c>
      <c r="C114" s="74" t="s">
        <v>64</v>
      </c>
      <c r="D114" s="65" t="s">
        <v>71</v>
      </c>
      <c r="E114" s="262">
        <f t="shared" si="21"/>
        <v>97607</v>
      </c>
      <c r="F114" s="262">
        <f>153000-55393</f>
        <v>97607</v>
      </c>
      <c r="G114" s="262"/>
      <c r="H114" s="262"/>
      <c r="I114" s="262"/>
      <c r="J114" s="262">
        <f t="shared" si="4"/>
        <v>0</v>
      </c>
      <c r="K114" s="262"/>
      <c r="L114" s="262"/>
      <c r="M114" s="262"/>
      <c r="N114" s="262"/>
      <c r="O114" s="262">
        <f t="shared" si="5"/>
        <v>0</v>
      </c>
      <c r="P114" s="263">
        <f t="shared" si="2"/>
        <v>97607</v>
      </c>
    </row>
    <row r="115" spans="1:16" ht="96">
      <c r="A115" s="71" t="s">
        <v>112</v>
      </c>
      <c r="B115" s="71" t="s">
        <v>113</v>
      </c>
      <c r="C115" s="71" t="s">
        <v>64</v>
      </c>
      <c r="D115" s="51" t="s">
        <v>114</v>
      </c>
      <c r="E115" s="262">
        <f t="shared" si="21"/>
        <v>81050</v>
      </c>
      <c r="F115" s="262">
        <v>81050</v>
      </c>
      <c r="G115" s="262"/>
      <c r="H115" s="262"/>
      <c r="I115" s="262"/>
      <c r="J115" s="262"/>
      <c r="K115" s="262"/>
      <c r="L115" s="262"/>
      <c r="M115" s="262"/>
      <c r="N115" s="262"/>
      <c r="O115" s="262"/>
      <c r="P115" s="263">
        <f t="shared" si="2"/>
        <v>81050</v>
      </c>
    </row>
    <row r="116" spans="1:16" ht="96">
      <c r="A116" s="71" t="s">
        <v>115</v>
      </c>
      <c r="B116" s="71" t="s">
        <v>116</v>
      </c>
      <c r="C116" s="71" t="s">
        <v>688</v>
      </c>
      <c r="D116" s="51" t="s">
        <v>117</v>
      </c>
      <c r="E116" s="262">
        <f t="shared" si="21"/>
        <v>65950</v>
      </c>
      <c r="F116" s="262">
        <v>65950</v>
      </c>
      <c r="G116" s="262"/>
      <c r="H116" s="262"/>
      <c r="I116" s="262"/>
      <c r="J116" s="262"/>
      <c r="K116" s="262"/>
      <c r="L116" s="262"/>
      <c r="M116" s="262"/>
      <c r="N116" s="262"/>
      <c r="O116" s="262"/>
      <c r="P116" s="263">
        <f>E116+J116</f>
        <v>65950</v>
      </c>
    </row>
    <row r="117" spans="1:16" ht="168">
      <c r="A117" s="71" t="s">
        <v>785</v>
      </c>
      <c r="B117" s="71" t="s">
        <v>786</v>
      </c>
      <c r="C117" s="71" t="s">
        <v>756</v>
      </c>
      <c r="D117" s="51" t="s">
        <v>787</v>
      </c>
      <c r="E117" s="262">
        <f t="shared" si="21"/>
        <v>4953471</v>
      </c>
      <c r="F117" s="262">
        <f>4383186+7112+2983+49962+49909+365500+69392+25427</f>
        <v>4953471</v>
      </c>
      <c r="G117" s="262">
        <f>4147907+69392+365500+25427</f>
        <v>4608226</v>
      </c>
      <c r="H117" s="262">
        <v>230279</v>
      </c>
      <c r="I117" s="262"/>
      <c r="J117" s="262">
        <f t="shared" si="4"/>
        <v>59400</v>
      </c>
      <c r="K117" s="262"/>
      <c r="L117" s="262">
        <v>59400</v>
      </c>
      <c r="M117" s="262"/>
      <c r="N117" s="262">
        <v>6588</v>
      </c>
      <c r="O117" s="262">
        <f t="shared" si="5"/>
        <v>0</v>
      </c>
      <c r="P117" s="263">
        <f aca="true" t="shared" si="22" ref="P117:P197">E117+J117</f>
        <v>5012871</v>
      </c>
    </row>
    <row r="118" spans="1:16" ht="96">
      <c r="A118" s="71" t="s">
        <v>788</v>
      </c>
      <c r="B118" s="71" t="s">
        <v>789</v>
      </c>
      <c r="C118" s="71" t="s">
        <v>752</v>
      </c>
      <c r="D118" s="51" t="s">
        <v>790</v>
      </c>
      <c r="E118" s="262">
        <f t="shared" si="21"/>
        <v>1810569</v>
      </c>
      <c r="F118" s="262">
        <f>1855735+1530-44974-1722</f>
        <v>1810569</v>
      </c>
      <c r="G118" s="262">
        <v>1519206</v>
      </c>
      <c r="H118" s="262">
        <v>210332</v>
      </c>
      <c r="I118" s="262"/>
      <c r="J118" s="262">
        <f t="shared" si="4"/>
        <v>0</v>
      </c>
      <c r="K118" s="262"/>
      <c r="L118" s="262"/>
      <c r="M118" s="262"/>
      <c r="N118" s="262"/>
      <c r="O118" s="262">
        <f t="shared" si="5"/>
        <v>0</v>
      </c>
      <c r="P118" s="263">
        <f t="shared" si="22"/>
        <v>1810569</v>
      </c>
    </row>
    <row r="119" spans="1:16" ht="96">
      <c r="A119" s="71" t="s">
        <v>791</v>
      </c>
      <c r="B119" s="71" t="s">
        <v>792</v>
      </c>
      <c r="C119" s="71" t="s">
        <v>684</v>
      </c>
      <c r="D119" s="51" t="s">
        <v>793</v>
      </c>
      <c r="E119" s="262">
        <f t="shared" si="21"/>
        <v>637299</v>
      </c>
      <c r="F119" s="262">
        <f>605597+15045+16657</f>
        <v>637299</v>
      </c>
      <c r="G119" s="262">
        <v>559424</v>
      </c>
      <c r="H119" s="262">
        <v>26833</v>
      </c>
      <c r="I119" s="262"/>
      <c r="J119" s="262">
        <f aca="true" t="shared" si="23" ref="J119:J195">L119+O119</f>
        <v>0</v>
      </c>
      <c r="K119" s="262"/>
      <c r="L119" s="262"/>
      <c r="M119" s="262"/>
      <c r="N119" s="262"/>
      <c r="O119" s="262">
        <f aca="true" t="shared" si="24" ref="O119:O195">K119</f>
        <v>0</v>
      </c>
      <c r="P119" s="263">
        <f t="shared" si="22"/>
        <v>637299</v>
      </c>
    </row>
    <row r="120" spans="1:16" ht="48">
      <c r="A120" s="71" t="s">
        <v>794</v>
      </c>
      <c r="B120" s="71" t="s">
        <v>795</v>
      </c>
      <c r="C120" s="71" t="s">
        <v>684</v>
      </c>
      <c r="D120" s="51" t="s">
        <v>796</v>
      </c>
      <c r="E120" s="262">
        <f t="shared" si="21"/>
        <v>5000</v>
      </c>
      <c r="F120" s="262">
        <v>5000</v>
      </c>
      <c r="G120" s="262"/>
      <c r="H120" s="262"/>
      <c r="I120" s="262"/>
      <c r="J120" s="262">
        <f t="shared" si="23"/>
        <v>0</v>
      </c>
      <c r="K120" s="262"/>
      <c r="L120" s="262"/>
      <c r="M120" s="262"/>
      <c r="N120" s="262"/>
      <c r="O120" s="262">
        <f t="shared" si="24"/>
        <v>0</v>
      </c>
      <c r="P120" s="263">
        <f t="shared" si="22"/>
        <v>5000</v>
      </c>
    </row>
    <row r="121" spans="1:16" ht="264">
      <c r="A121" s="71" t="s">
        <v>72</v>
      </c>
      <c r="B121" s="71" t="s">
        <v>73</v>
      </c>
      <c r="C121" s="71" t="s">
        <v>752</v>
      </c>
      <c r="D121" s="51" t="s">
        <v>74</v>
      </c>
      <c r="E121" s="262">
        <f t="shared" si="21"/>
        <v>490619</v>
      </c>
      <c r="F121" s="262">
        <f>606834-55554-60661</f>
        <v>490619</v>
      </c>
      <c r="G121" s="262"/>
      <c r="H121" s="262"/>
      <c r="I121" s="262"/>
      <c r="J121" s="262">
        <f t="shared" si="23"/>
        <v>0</v>
      </c>
      <c r="K121" s="262"/>
      <c r="L121" s="262"/>
      <c r="M121" s="262"/>
      <c r="N121" s="262"/>
      <c r="O121" s="262">
        <f t="shared" si="24"/>
        <v>0</v>
      </c>
      <c r="P121" s="263">
        <f t="shared" si="22"/>
        <v>490619</v>
      </c>
    </row>
    <row r="122" spans="1:16" ht="216">
      <c r="A122" s="76" t="s">
        <v>75</v>
      </c>
      <c r="B122" s="76" t="s">
        <v>76</v>
      </c>
      <c r="C122" s="76" t="s">
        <v>77</v>
      </c>
      <c r="D122" s="55" t="s">
        <v>78</v>
      </c>
      <c r="E122" s="262">
        <f t="shared" si="21"/>
        <v>310827</v>
      </c>
      <c r="F122" s="262">
        <f>310166+661</f>
        <v>310827</v>
      </c>
      <c r="G122" s="262"/>
      <c r="H122" s="262"/>
      <c r="I122" s="262"/>
      <c r="J122" s="262">
        <f t="shared" si="23"/>
        <v>0</v>
      </c>
      <c r="K122" s="262"/>
      <c r="L122" s="262"/>
      <c r="M122" s="262"/>
      <c r="N122" s="262"/>
      <c r="O122" s="262">
        <f t="shared" si="24"/>
        <v>0</v>
      </c>
      <c r="P122" s="263">
        <f t="shared" si="22"/>
        <v>310827</v>
      </c>
    </row>
    <row r="123" spans="1:16" ht="72">
      <c r="A123" s="71" t="s">
        <v>79</v>
      </c>
      <c r="B123" s="71" t="s">
        <v>687</v>
      </c>
      <c r="C123" s="71" t="s">
        <v>688</v>
      </c>
      <c r="D123" s="51" t="s">
        <v>689</v>
      </c>
      <c r="E123" s="262">
        <f t="shared" si="21"/>
        <v>251878</v>
      </c>
      <c r="F123" s="262">
        <f>253324+50000-51446</f>
        <v>251878</v>
      </c>
      <c r="G123" s="262"/>
      <c r="H123" s="262"/>
      <c r="I123" s="262"/>
      <c r="J123" s="262">
        <f t="shared" si="23"/>
        <v>0</v>
      </c>
      <c r="K123" s="262"/>
      <c r="L123" s="262"/>
      <c r="M123" s="262"/>
      <c r="N123" s="262"/>
      <c r="O123" s="262">
        <f t="shared" si="24"/>
        <v>0</v>
      </c>
      <c r="P123" s="263">
        <f t="shared" si="22"/>
        <v>251878</v>
      </c>
    </row>
    <row r="124" spans="1:16" ht="144">
      <c r="A124" s="71" t="s">
        <v>80</v>
      </c>
      <c r="B124" s="71" t="s">
        <v>81</v>
      </c>
      <c r="C124" s="71" t="s">
        <v>688</v>
      </c>
      <c r="D124" s="51" t="s">
        <v>82</v>
      </c>
      <c r="E124" s="262">
        <f t="shared" si="21"/>
        <v>497450</v>
      </c>
      <c r="F124" s="262">
        <f>300000+100000+13958+63420+20072</f>
        <v>497450</v>
      </c>
      <c r="G124" s="262"/>
      <c r="H124" s="262"/>
      <c r="I124" s="262"/>
      <c r="J124" s="262">
        <f t="shared" si="23"/>
        <v>0</v>
      </c>
      <c r="K124" s="262"/>
      <c r="L124" s="262"/>
      <c r="M124" s="262"/>
      <c r="N124" s="262"/>
      <c r="O124" s="262">
        <f t="shared" si="24"/>
        <v>0</v>
      </c>
      <c r="P124" s="263">
        <f t="shared" si="22"/>
        <v>497450</v>
      </c>
    </row>
    <row r="125" spans="1:16" ht="48">
      <c r="A125" s="74" t="s">
        <v>174</v>
      </c>
      <c r="B125" s="74" t="s">
        <v>151</v>
      </c>
      <c r="C125" s="74" t="s">
        <v>152</v>
      </c>
      <c r="D125" s="63" t="s">
        <v>153</v>
      </c>
      <c r="E125" s="269">
        <f t="shared" si="21"/>
        <v>11520</v>
      </c>
      <c r="F125" s="269">
        <v>11520</v>
      </c>
      <c r="G125" s="269">
        <v>11520</v>
      </c>
      <c r="H125" s="269"/>
      <c r="I125" s="269"/>
      <c r="J125" s="269"/>
      <c r="K125" s="269"/>
      <c r="L125" s="269"/>
      <c r="M125" s="269"/>
      <c r="N125" s="269"/>
      <c r="O125" s="269"/>
      <c r="P125" s="270">
        <f t="shared" si="22"/>
        <v>11520</v>
      </c>
    </row>
    <row r="126" spans="1:16" s="299" customFormat="1" ht="311.25" customHeight="1">
      <c r="A126" s="298" t="s">
        <v>324</v>
      </c>
      <c r="B126" s="298" t="s">
        <v>325</v>
      </c>
      <c r="C126" s="298" t="s">
        <v>77</v>
      </c>
      <c r="D126" s="359" t="s">
        <v>329</v>
      </c>
      <c r="E126" s="270"/>
      <c r="F126" s="270"/>
      <c r="G126" s="270"/>
      <c r="H126" s="270"/>
      <c r="I126" s="270"/>
      <c r="J126" s="357">
        <f>K126+L126</f>
        <v>742363.61</v>
      </c>
      <c r="K126" s="357">
        <v>742363.61</v>
      </c>
      <c r="L126" s="270"/>
      <c r="M126" s="270"/>
      <c r="N126" s="270"/>
      <c r="O126" s="270"/>
      <c r="P126" s="357">
        <f t="shared" si="22"/>
        <v>742363.61</v>
      </c>
    </row>
    <row r="127" spans="1:16" s="299" customFormat="1" ht="348.75" customHeight="1">
      <c r="A127" s="320"/>
      <c r="B127" s="320"/>
      <c r="C127" s="320"/>
      <c r="D127" s="358" t="s">
        <v>330</v>
      </c>
      <c r="E127" s="360"/>
      <c r="F127" s="360"/>
      <c r="G127" s="360"/>
      <c r="H127" s="360"/>
      <c r="I127" s="360"/>
      <c r="J127" s="361"/>
      <c r="K127" s="361"/>
      <c r="L127" s="360"/>
      <c r="M127" s="360"/>
      <c r="N127" s="360"/>
      <c r="O127" s="360"/>
      <c r="P127" s="361"/>
    </row>
    <row r="128" spans="1:16" s="299" customFormat="1" ht="257.25" customHeight="1">
      <c r="A128" s="319"/>
      <c r="B128" s="319"/>
      <c r="C128" s="319"/>
      <c r="D128" s="358" t="s">
        <v>331</v>
      </c>
      <c r="E128" s="272"/>
      <c r="F128" s="272"/>
      <c r="G128" s="272"/>
      <c r="H128" s="272"/>
      <c r="I128" s="272"/>
      <c r="J128" s="342"/>
      <c r="K128" s="342"/>
      <c r="L128" s="272"/>
      <c r="M128" s="272"/>
      <c r="N128" s="272"/>
      <c r="O128" s="272"/>
      <c r="P128" s="342"/>
    </row>
    <row r="129" spans="1:16" ht="72">
      <c r="A129" s="74" t="s">
        <v>83</v>
      </c>
      <c r="B129" s="74" t="s">
        <v>691</v>
      </c>
      <c r="C129" s="74" t="s">
        <v>692</v>
      </c>
      <c r="D129" s="63" t="s">
        <v>693</v>
      </c>
      <c r="E129" s="262">
        <f t="shared" si="21"/>
        <v>879380</v>
      </c>
      <c r="F129" s="262">
        <f>789380+60000+30000</f>
        <v>879380</v>
      </c>
      <c r="G129" s="262"/>
      <c r="H129" s="262"/>
      <c r="I129" s="262"/>
      <c r="J129" s="262">
        <f t="shared" si="23"/>
        <v>0</v>
      </c>
      <c r="K129" s="262"/>
      <c r="L129" s="262"/>
      <c r="M129" s="262"/>
      <c r="N129" s="262"/>
      <c r="O129" s="262">
        <f t="shared" si="24"/>
        <v>0</v>
      </c>
      <c r="P129" s="263">
        <f t="shared" si="22"/>
        <v>879380</v>
      </c>
    </row>
    <row r="130" spans="1:16" ht="48">
      <c r="A130" s="74" t="s">
        <v>596</v>
      </c>
      <c r="B130" s="74" t="s">
        <v>597</v>
      </c>
      <c r="C130" s="74" t="s">
        <v>718</v>
      </c>
      <c r="D130" s="63" t="s">
        <v>598</v>
      </c>
      <c r="E130" s="262">
        <f t="shared" si="21"/>
        <v>0</v>
      </c>
      <c r="F130" s="269"/>
      <c r="G130" s="269"/>
      <c r="H130" s="269"/>
      <c r="I130" s="269"/>
      <c r="J130" s="262">
        <f t="shared" si="23"/>
        <v>6444</v>
      </c>
      <c r="K130" s="269">
        <v>6444</v>
      </c>
      <c r="L130" s="269"/>
      <c r="M130" s="269"/>
      <c r="N130" s="269"/>
      <c r="O130" s="262">
        <f t="shared" si="24"/>
        <v>6444</v>
      </c>
      <c r="P130" s="263">
        <f t="shared" si="22"/>
        <v>6444</v>
      </c>
    </row>
    <row r="131" spans="1:16" ht="48">
      <c r="A131" s="74" t="s">
        <v>173</v>
      </c>
      <c r="B131" s="74" t="s">
        <v>41</v>
      </c>
      <c r="C131" s="74" t="s">
        <v>718</v>
      </c>
      <c r="D131" s="63" t="s">
        <v>122</v>
      </c>
      <c r="E131" s="269"/>
      <c r="F131" s="269"/>
      <c r="G131" s="269"/>
      <c r="H131" s="269"/>
      <c r="I131" s="269"/>
      <c r="J131" s="262">
        <f t="shared" si="23"/>
        <v>51460</v>
      </c>
      <c r="K131" s="269">
        <f>51460</f>
        <v>51460</v>
      </c>
      <c r="L131" s="269"/>
      <c r="M131" s="269"/>
      <c r="N131" s="269"/>
      <c r="O131" s="262">
        <f t="shared" si="24"/>
        <v>51460</v>
      </c>
      <c r="P131" s="263">
        <f t="shared" si="22"/>
        <v>51460</v>
      </c>
    </row>
    <row r="132" spans="1:16" ht="48.75" thickBot="1">
      <c r="A132" s="73" t="s">
        <v>84</v>
      </c>
      <c r="B132" s="73" t="s">
        <v>728</v>
      </c>
      <c r="C132" s="73" t="s">
        <v>719</v>
      </c>
      <c r="D132" s="64" t="s">
        <v>729</v>
      </c>
      <c r="E132" s="266">
        <f t="shared" si="21"/>
        <v>26275</v>
      </c>
      <c r="F132" s="266">
        <f>35698-9423</f>
        <v>26275</v>
      </c>
      <c r="G132" s="266"/>
      <c r="H132" s="266"/>
      <c r="I132" s="266"/>
      <c r="J132" s="266">
        <f t="shared" si="23"/>
        <v>0</v>
      </c>
      <c r="K132" s="266"/>
      <c r="L132" s="266"/>
      <c r="M132" s="266"/>
      <c r="N132" s="266"/>
      <c r="O132" s="266">
        <f t="shared" si="24"/>
        <v>0</v>
      </c>
      <c r="P132" s="265">
        <f t="shared" si="22"/>
        <v>26275</v>
      </c>
    </row>
    <row r="133" spans="1:16" s="15" customFormat="1" ht="69.75">
      <c r="A133" s="69" t="s">
        <v>797</v>
      </c>
      <c r="B133" s="69"/>
      <c r="C133" s="69"/>
      <c r="D133" s="48" t="s">
        <v>798</v>
      </c>
      <c r="E133" s="267">
        <f>E134</f>
        <v>33513070</v>
      </c>
      <c r="F133" s="267">
        <f aca="true" t="shared" si="25" ref="F133:N133">F134</f>
        <v>33513070</v>
      </c>
      <c r="G133" s="267">
        <f t="shared" si="25"/>
        <v>27732368</v>
      </c>
      <c r="H133" s="267">
        <f t="shared" si="25"/>
        <v>3457042</v>
      </c>
      <c r="I133" s="267">
        <f t="shared" si="25"/>
        <v>0</v>
      </c>
      <c r="J133" s="267">
        <f t="shared" si="25"/>
        <v>4302186</v>
      </c>
      <c r="K133" s="267">
        <f t="shared" si="25"/>
        <v>3194841</v>
      </c>
      <c r="L133" s="267">
        <f t="shared" si="25"/>
        <v>1107345</v>
      </c>
      <c r="M133" s="267">
        <f t="shared" si="25"/>
        <v>916905</v>
      </c>
      <c r="N133" s="267">
        <f t="shared" si="25"/>
        <v>18741</v>
      </c>
      <c r="O133" s="267">
        <f t="shared" si="24"/>
        <v>3194841</v>
      </c>
      <c r="P133" s="260">
        <f t="shared" si="22"/>
        <v>37815256</v>
      </c>
    </row>
    <row r="134" spans="1:16" s="15" customFormat="1" ht="69.75">
      <c r="A134" s="69" t="s">
        <v>799</v>
      </c>
      <c r="B134" s="69"/>
      <c r="C134" s="69"/>
      <c r="D134" s="48" t="s">
        <v>798</v>
      </c>
      <c r="E134" s="273">
        <f>SUM(E135:E144)</f>
        <v>33513070</v>
      </c>
      <c r="F134" s="273">
        <f aca="true" t="shared" si="26" ref="F134:N134">SUM(F135:F144)</f>
        <v>33513070</v>
      </c>
      <c r="G134" s="273">
        <f t="shared" si="26"/>
        <v>27732368</v>
      </c>
      <c r="H134" s="273">
        <f t="shared" si="26"/>
        <v>3457042</v>
      </c>
      <c r="I134" s="273">
        <f t="shared" si="26"/>
        <v>0</v>
      </c>
      <c r="J134" s="273">
        <f t="shared" si="26"/>
        <v>4302186</v>
      </c>
      <c r="K134" s="273">
        <f t="shared" si="26"/>
        <v>3194841</v>
      </c>
      <c r="L134" s="273">
        <f t="shared" si="26"/>
        <v>1107345</v>
      </c>
      <c r="M134" s="273">
        <f t="shared" si="26"/>
        <v>916905</v>
      </c>
      <c r="N134" s="273">
        <f t="shared" si="26"/>
        <v>18741</v>
      </c>
      <c r="O134" s="273">
        <f t="shared" si="24"/>
        <v>3194841</v>
      </c>
      <c r="P134" s="261">
        <f t="shared" si="22"/>
        <v>37815256</v>
      </c>
    </row>
    <row r="135" spans="1:16" ht="120">
      <c r="A135" s="71" t="s">
        <v>800</v>
      </c>
      <c r="B135" s="71" t="s">
        <v>749</v>
      </c>
      <c r="C135" s="71" t="s">
        <v>654</v>
      </c>
      <c r="D135" s="51" t="s">
        <v>750</v>
      </c>
      <c r="E135" s="262">
        <f>F135</f>
        <v>859364</v>
      </c>
      <c r="F135" s="262">
        <f>820650+38714</f>
        <v>859364</v>
      </c>
      <c r="G135" s="262">
        <f>784745+38714</f>
        <v>823459</v>
      </c>
      <c r="H135" s="262">
        <v>17505</v>
      </c>
      <c r="I135" s="262"/>
      <c r="J135" s="262">
        <f t="shared" si="23"/>
        <v>0</v>
      </c>
      <c r="K135" s="262"/>
      <c r="L135" s="262"/>
      <c r="M135" s="262"/>
      <c r="N135" s="262"/>
      <c r="O135" s="262">
        <f t="shared" si="24"/>
        <v>0</v>
      </c>
      <c r="P135" s="263">
        <f t="shared" si="22"/>
        <v>859364</v>
      </c>
    </row>
    <row r="136" spans="1:16" ht="48">
      <c r="A136" s="71" t="s">
        <v>801</v>
      </c>
      <c r="B136" s="71" t="s">
        <v>802</v>
      </c>
      <c r="C136" s="71" t="s">
        <v>764</v>
      </c>
      <c r="D136" s="51" t="s">
        <v>127</v>
      </c>
      <c r="E136" s="262">
        <f>F136</f>
        <v>15165723</v>
      </c>
      <c r="F136" s="262">
        <f>15295783-52260+12586-90386+16681-16681</f>
        <v>15165723</v>
      </c>
      <c r="G136" s="262">
        <f>13634760-90386</f>
        <v>13544374</v>
      </c>
      <c r="H136" s="262">
        <f>1521252+70866-52260-16681</f>
        <v>1523177</v>
      </c>
      <c r="I136" s="262"/>
      <c r="J136" s="262">
        <f t="shared" si="23"/>
        <v>924685</v>
      </c>
      <c r="K136" s="262"/>
      <c r="L136" s="262">
        <v>924685</v>
      </c>
      <c r="M136" s="262">
        <v>898605</v>
      </c>
      <c r="N136" s="262">
        <v>5851</v>
      </c>
      <c r="O136" s="262">
        <f t="shared" si="24"/>
        <v>0</v>
      </c>
      <c r="P136" s="263">
        <f t="shared" si="22"/>
        <v>16090408</v>
      </c>
    </row>
    <row r="137" spans="1:16" ht="48">
      <c r="A137" s="71" t="s">
        <v>803</v>
      </c>
      <c r="B137" s="71" t="s">
        <v>804</v>
      </c>
      <c r="C137" s="71" t="s">
        <v>805</v>
      </c>
      <c r="D137" s="51" t="s">
        <v>806</v>
      </c>
      <c r="E137" s="262">
        <f aca="true" t="shared" si="27" ref="E137:E144">F137</f>
        <v>4823797</v>
      </c>
      <c r="F137" s="262">
        <f>4687744-29863+114843-40000+687+90386</f>
        <v>4823797</v>
      </c>
      <c r="G137" s="262">
        <f>4067055+118170-9969+94288+90386</f>
        <v>4359930</v>
      </c>
      <c r="H137" s="262">
        <f>283262+29236-29863+11835</f>
        <v>294470</v>
      </c>
      <c r="I137" s="262"/>
      <c r="J137" s="262">
        <f t="shared" si="23"/>
        <v>48160</v>
      </c>
      <c r="K137" s="262">
        <f>40000</f>
        <v>40000</v>
      </c>
      <c r="L137" s="262">
        <v>8160</v>
      </c>
      <c r="M137" s="262"/>
      <c r="N137" s="262">
        <v>1370</v>
      </c>
      <c r="O137" s="262">
        <f t="shared" si="24"/>
        <v>40000</v>
      </c>
      <c r="P137" s="263">
        <f t="shared" si="22"/>
        <v>4871957</v>
      </c>
    </row>
    <row r="138" spans="1:16" ht="48">
      <c r="A138" s="71" t="s">
        <v>807</v>
      </c>
      <c r="B138" s="71" t="s">
        <v>808</v>
      </c>
      <c r="C138" s="71" t="s">
        <v>805</v>
      </c>
      <c r="D138" s="51" t="s">
        <v>809</v>
      </c>
      <c r="E138" s="262">
        <f t="shared" si="27"/>
        <v>1331910</v>
      </c>
      <c r="F138" s="262">
        <f>1259549-2738+22561+3440+22739+26359</f>
        <v>1331910</v>
      </c>
      <c r="G138" s="262">
        <f>738354+141385</f>
        <v>879739</v>
      </c>
      <c r="H138" s="262">
        <f>320686-2738</f>
        <v>317948</v>
      </c>
      <c r="I138" s="262"/>
      <c r="J138" s="262">
        <f t="shared" si="23"/>
        <v>14500</v>
      </c>
      <c r="K138" s="262"/>
      <c r="L138" s="262">
        <v>14500</v>
      </c>
      <c r="M138" s="262"/>
      <c r="N138" s="262"/>
      <c r="O138" s="262">
        <f t="shared" si="24"/>
        <v>0</v>
      </c>
      <c r="P138" s="263">
        <f t="shared" si="22"/>
        <v>1346410</v>
      </c>
    </row>
    <row r="139" spans="1:16" ht="134.25" customHeight="1">
      <c r="A139" s="71" t="s">
        <v>810</v>
      </c>
      <c r="B139" s="71" t="s">
        <v>811</v>
      </c>
      <c r="C139" s="71" t="s">
        <v>812</v>
      </c>
      <c r="D139" s="50" t="s">
        <v>813</v>
      </c>
      <c r="E139" s="262">
        <f t="shared" si="27"/>
        <v>8969830</v>
      </c>
      <c r="F139" s="262">
        <f>8222947-11199+682826+19422+33156+46596-87818+46700+49600+28463-72363+11500</f>
        <v>8969830</v>
      </c>
      <c r="G139" s="262">
        <f>6755061+423754</f>
        <v>7178815</v>
      </c>
      <c r="H139" s="262">
        <f>1180634+4828+13025+15467-11199+234527-87818-72363</f>
        <v>1277101</v>
      </c>
      <c r="I139" s="262"/>
      <c r="J139" s="262">
        <f t="shared" si="23"/>
        <v>1027200</v>
      </c>
      <c r="K139" s="262">
        <f>845082+30600-8482</f>
        <v>867200</v>
      </c>
      <c r="L139" s="262">
        <v>160000</v>
      </c>
      <c r="M139" s="262">
        <v>18300</v>
      </c>
      <c r="N139" s="262">
        <v>11520</v>
      </c>
      <c r="O139" s="262">
        <f t="shared" si="24"/>
        <v>867200</v>
      </c>
      <c r="P139" s="263">
        <f t="shared" si="22"/>
        <v>9997030</v>
      </c>
    </row>
    <row r="140" spans="1:16" ht="72">
      <c r="A140" s="76" t="s">
        <v>814</v>
      </c>
      <c r="B140" s="76" t="s">
        <v>815</v>
      </c>
      <c r="C140" s="71" t="s">
        <v>816</v>
      </c>
      <c r="D140" s="61" t="s">
        <v>817</v>
      </c>
      <c r="E140" s="262">
        <f t="shared" si="27"/>
        <v>970918</v>
      </c>
      <c r="F140" s="262">
        <f>970918</f>
        <v>970918</v>
      </c>
      <c r="G140" s="262">
        <v>914514</v>
      </c>
      <c r="H140" s="262">
        <v>26841</v>
      </c>
      <c r="I140" s="262"/>
      <c r="J140" s="262">
        <f t="shared" si="23"/>
        <v>0</v>
      </c>
      <c r="K140" s="262"/>
      <c r="L140" s="262"/>
      <c r="M140" s="262"/>
      <c r="N140" s="262"/>
      <c r="O140" s="262">
        <f t="shared" si="24"/>
        <v>0</v>
      </c>
      <c r="P140" s="263">
        <f t="shared" si="22"/>
        <v>970918</v>
      </c>
    </row>
    <row r="141" spans="1:16" ht="48">
      <c r="A141" s="71" t="s">
        <v>818</v>
      </c>
      <c r="B141" s="71" t="s">
        <v>819</v>
      </c>
      <c r="C141" s="77" t="s">
        <v>816</v>
      </c>
      <c r="D141" s="51" t="s">
        <v>820</v>
      </c>
      <c r="E141" s="262">
        <f t="shared" si="27"/>
        <v>1311528</v>
      </c>
      <c r="F141" s="262">
        <f>1250850+47245-49869-49098+107900+16000-11500</f>
        <v>1311528</v>
      </c>
      <c r="G141" s="262">
        <f>43615-12078</f>
        <v>31537</v>
      </c>
      <c r="H141" s="262"/>
      <c r="I141" s="262"/>
      <c r="J141" s="262">
        <f t="shared" si="23"/>
        <v>0</v>
      </c>
      <c r="K141" s="262"/>
      <c r="L141" s="262"/>
      <c r="M141" s="262"/>
      <c r="N141" s="262"/>
      <c r="O141" s="262">
        <f t="shared" si="24"/>
        <v>0</v>
      </c>
      <c r="P141" s="263">
        <f t="shared" si="22"/>
        <v>1311528</v>
      </c>
    </row>
    <row r="142" spans="1:16" ht="48">
      <c r="A142" s="74" t="s">
        <v>154</v>
      </c>
      <c r="B142" s="74" t="s">
        <v>155</v>
      </c>
      <c r="C142" s="87" t="s">
        <v>718</v>
      </c>
      <c r="D142" s="63" t="s">
        <v>156</v>
      </c>
      <c r="E142" s="269"/>
      <c r="F142" s="269"/>
      <c r="G142" s="269"/>
      <c r="H142" s="269"/>
      <c r="I142" s="269"/>
      <c r="J142" s="269">
        <f t="shared" si="23"/>
        <v>2087641</v>
      </c>
      <c r="K142" s="269">
        <f>297892+600000+1013643+176106</f>
        <v>2087641</v>
      </c>
      <c r="L142" s="269"/>
      <c r="M142" s="269"/>
      <c r="N142" s="269"/>
      <c r="O142" s="269">
        <f>K142</f>
        <v>2087641</v>
      </c>
      <c r="P142" s="263">
        <f t="shared" si="22"/>
        <v>2087641</v>
      </c>
    </row>
    <row r="143" spans="1:18" ht="72">
      <c r="A143" s="74" t="s">
        <v>157</v>
      </c>
      <c r="B143" s="74" t="s">
        <v>158</v>
      </c>
      <c r="C143" s="87" t="s">
        <v>718</v>
      </c>
      <c r="D143" s="63" t="s">
        <v>159</v>
      </c>
      <c r="E143" s="269"/>
      <c r="F143" s="269"/>
      <c r="G143" s="269"/>
      <c r="H143" s="269"/>
      <c r="I143" s="269"/>
      <c r="J143" s="269">
        <f t="shared" si="23"/>
        <v>200000</v>
      </c>
      <c r="K143" s="269">
        <f>200000</f>
        <v>200000</v>
      </c>
      <c r="L143" s="269"/>
      <c r="M143" s="269"/>
      <c r="N143" s="269"/>
      <c r="O143" s="269">
        <f>K143</f>
        <v>200000</v>
      </c>
      <c r="P143" s="263">
        <f t="shared" si="22"/>
        <v>200000</v>
      </c>
      <c r="R143" s="239"/>
    </row>
    <row r="144" spans="1:16" ht="48.75" thickBot="1">
      <c r="A144" s="73" t="s">
        <v>821</v>
      </c>
      <c r="B144" s="73" t="s">
        <v>822</v>
      </c>
      <c r="C144" s="73" t="s">
        <v>823</v>
      </c>
      <c r="D144" s="66" t="s">
        <v>824</v>
      </c>
      <c r="E144" s="266">
        <f t="shared" si="27"/>
        <v>80000</v>
      </c>
      <c r="F144" s="266">
        <f>80000+80000-80000</f>
        <v>80000</v>
      </c>
      <c r="G144" s="266"/>
      <c r="H144" s="266"/>
      <c r="I144" s="266"/>
      <c r="J144" s="266">
        <f t="shared" si="23"/>
        <v>0</v>
      </c>
      <c r="K144" s="266"/>
      <c r="L144" s="266"/>
      <c r="M144" s="266"/>
      <c r="N144" s="266"/>
      <c r="O144" s="266">
        <f t="shared" si="24"/>
        <v>0</v>
      </c>
      <c r="P144" s="265">
        <f t="shared" si="22"/>
        <v>80000</v>
      </c>
    </row>
    <row r="145" spans="1:16" s="15" customFormat="1" ht="99.75" customHeight="1">
      <c r="A145" s="166" t="s">
        <v>825</v>
      </c>
      <c r="B145" s="167"/>
      <c r="C145" s="168"/>
      <c r="D145" s="48" t="s">
        <v>826</v>
      </c>
      <c r="E145" s="267">
        <f>E146</f>
        <v>10622748</v>
      </c>
      <c r="F145" s="267">
        <f aca="true" t="shared" si="28" ref="F145:N145">F146</f>
        <v>10622748</v>
      </c>
      <c r="G145" s="267">
        <f t="shared" si="28"/>
        <v>3635705</v>
      </c>
      <c r="H145" s="267">
        <f t="shared" si="28"/>
        <v>76850</v>
      </c>
      <c r="I145" s="267">
        <f t="shared" si="28"/>
        <v>0</v>
      </c>
      <c r="J145" s="267">
        <f t="shared" si="28"/>
        <v>1353556</v>
      </c>
      <c r="K145" s="267">
        <f t="shared" si="28"/>
        <v>1353556</v>
      </c>
      <c r="L145" s="267">
        <f t="shared" si="28"/>
        <v>0</v>
      </c>
      <c r="M145" s="267">
        <f t="shared" si="28"/>
        <v>0</v>
      </c>
      <c r="N145" s="267">
        <f t="shared" si="28"/>
        <v>0</v>
      </c>
      <c r="O145" s="267">
        <f t="shared" si="24"/>
        <v>1353556</v>
      </c>
      <c r="P145" s="260">
        <f t="shared" si="22"/>
        <v>11976304</v>
      </c>
    </row>
    <row r="146" spans="1:16" s="15" customFormat="1" ht="105.75" customHeight="1">
      <c r="A146" s="70" t="s">
        <v>827</v>
      </c>
      <c r="B146" s="70"/>
      <c r="C146" s="70"/>
      <c r="D146" s="49" t="s">
        <v>826</v>
      </c>
      <c r="E146" s="273">
        <f>SUM(E147:E159)</f>
        <v>10622748</v>
      </c>
      <c r="F146" s="273">
        <f aca="true" t="shared" si="29" ref="F146:N146">SUM(F147:F159)</f>
        <v>10622748</v>
      </c>
      <c r="G146" s="273">
        <f t="shared" si="29"/>
        <v>3635705</v>
      </c>
      <c r="H146" s="273">
        <f t="shared" si="29"/>
        <v>76850</v>
      </c>
      <c r="I146" s="273">
        <f t="shared" si="29"/>
        <v>0</v>
      </c>
      <c r="J146" s="273">
        <f t="shared" si="29"/>
        <v>1353556</v>
      </c>
      <c r="K146" s="273">
        <f t="shared" si="29"/>
        <v>1353556</v>
      </c>
      <c r="L146" s="273">
        <f t="shared" si="29"/>
        <v>0</v>
      </c>
      <c r="M146" s="273">
        <f t="shared" si="29"/>
        <v>0</v>
      </c>
      <c r="N146" s="273">
        <f t="shared" si="29"/>
        <v>0</v>
      </c>
      <c r="O146" s="273">
        <f t="shared" si="24"/>
        <v>1353556</v>
      </c>
      <c r="P146" s="261">
        <f t="shared" si="22"/>
        <v>11976304</v>
      </c>
    </row>
    <row r="147" spans="1:16" ht="120">
      <c r="A147" s="71" t="s">
        <v>828</v>
      </c>
      <c r="B147" s="71" t="s">
        <v>749</v>
      </c>
      <c r="C147" s="71" t="s">
        <v>654</v>
      </c>
      <c r="D147" s="51" t="s">
        <v>750</v>
      </c>
      <c r="E147" s="262">
        <f aca="true" t="shared" si="30" ref="E147:E159">F147</f>
        <v>904155</v>
      </c>
      <c r="F147" s="262">
        <f>1028030+47031-248892+49986+28000</f>
        <v>904155</v>
      </c>
      <c r="G147" s="262">
        <f>970553+47031-248892</f>
        <v>768692</v>
      </c>
      <c r="H147" s="262">
        <v>25477</v>
      </c>
      <c r="I147" s="262"/>
      <c r="J147" s="262">
        <f t="shared" si="23"/>
        <v>0</v>
      </c>
      <c r="K147" s="262"/>
      <c r="L147" s="262"/>
      <c r="M147" s="262"/>
      <c r="N147" s="262"/>
      <c r="O147" s="262">
        <f t="shared" si="24"/>
        <v>0</v>
      </c>
      <c r="P147" s="263">
        <f t="shared" si="22"/>
        <v>904155</v>
      </c>
    </row>
    <row r="148" spans="1:16" ht="48">
      <c r="A148" s="71" t="s">
        <v>829</v>
      </c>
      <c r="B148" s="71" t="s">
        <v>830</v>
      </c>
      <c r="C148" s="71" t="s">
        <v>684</v>
      </c>
      <c r="D148" s="56" t="s">
        <v>831</v>
      </c>
      <c r="E148" s="262">
        <f t="shared" si="30"/>
        <v>100700</v>
      </c>
      <c r="F148" s="262">
        <f>70700+30000</f>
        <v>100700</v>
      </c>
      <c r="G148" s="262"/>
      <c r="H148" s="262"/>
      <c r="I148" s="262"/>
      <c r="J148" s="262">
        <f t="shared" si="23"/>
        <v>0</v>
      </c>
      <c r="K148" s="262"/>
      <c r="L148" s="262"/>
      <c r="M148" s="262"/>
      <c r="N148" s="262"/>
      <c r="O148" s="262">
        <f t="shared" si="24"/>
        <v>0</v>
      </c>
      <c r="P148" s="263">
        <f t="shared" si="22"/>
        <v>100700</v>
      </c>
    </row>
    <row r="149" spans="1:16" ht="216" hidden="1">
      <c r="A149" s="71" t="s">
        <v>832</v>
      </c>
      <c r="B149" s="71" t="s">
        <v>833</v>
      </c>
      <c r="C149" s="71" t="s">
        <v>684</v>
      </c>
      <c r="D149" s="56" t="s">
        <v>0</v>
      </c>
      <c r="E149" s="262">
        <f t="shared" si="30"/>
        <v>0</v>
      </c>
      <c r="F149" s="262">
        <f>361200-361200</f>
        <v>0</v>
      </c>
      <c r="G149" s="262"/>
      <c r="H149" s="262"/>
      <c r="I149" s="262"/>
      <c r="J149" s="262">
        <f t="shared" si="23"/>
        <v>0</v>
      </c>
      <c r="K149" s="262"/>
      <c r="L149" s="262"/>
      <c r="M149" s="262"/>
      <c r="N149" s="262"/>
      <c r="O149" s="262">
        <f t="shared" si="24"/>
        <v>0</v>
      </c>
      <c r="P149" s="263">
        <f t="shared" si="22"/>
        <v>0</v>
      </c>
    </row>
    <row r="150" spans="1:16" ht="48" hidden="1">
      <c r="A150" s="71" t="s">
        <v>175</v>
      </c>
      <c r="B150" s="71" t="s">
        <v>151</v>
      </c>
      <c r="C150" s="71" t="s">
        <v>152</v>
      </c>
      <c r="D150" s="56" t="s">
        <v>153</v>
      </c>
      <c r="E150" s="262">
        <f>F150</f>
        <v>0</v>
      </c>
      <c r="F150" s="262">
        <f>11520-11520</f>
        <v>0</v>
      </c>
      <c r="G150" s="262"/>
      <c r="H150" s="262"/>
      <c r="I150" s="262"/>
      <c r="J150" s="262"/>
      <c r="K150" s="262"/>
      <c r="L150" s="262"/>
      <c r="M150" s="262"/>
      <c r="N150" s="262"/>
      <c r="O150" s="262"/>
      <c r="P150" s="263">
        <f t="shared" si="22"/>
        <v>0</v>
      </c>
    </row>
    <row r="151" spans="1:16" ht="96">
      <c r="A151" s="71" t="s">
        <v>1</v>
      </c>
      <c r="B151" s="71" t="s">
        <v>2</v>
      </c>
      <c r="C151" s="71" t="s">
        <v>779</v>
      </c>
      <c r="D151" s="51" t="s">
        <v>3</v>
      </c>
      <c r="E151" s="262">
        <f t="shared" si="30"/>
        <v>278751</v>
      </c>
      <c r="F151" s="262">
        <f>440000-73876-2983-2780-42151-4525-28000-6934</f>
        <v>278751</v>
      </c>
      <c r="G151" s="262"/>
      <c r="H151" s="262"/>
      <c r="I151" s="262"/>
      <c r="J151" s="262">
        <f t="shared" si="23"/>
        <v>0</v>
      </c>
      <c r="K151" s="262"/>
      <c r="L151" s="262"/>
      <c r="M151" s="262"/>
      <c r="N151" s="262"/>
      <c r="O151" s="262">
        <f t="shared" si="24"/>
        <v>0</v>
      </c>
      <c r="P151" s="263">
        <f t="shared" si="22"/>
        <v>278751</v>
      </c>
    </row>
    <row r="152" spans="1:16" ht="96">
      <c r="A152" s="71" t="s">
        <v>4</v>
      </c>
      <c r="B152" s="71" t="s">
        <v>778</v>
      </c>
      <c r="C152" s="71" t="s">
        <v>779</v>
      </c>
      <c r="D152" s="51" t="s">
        <v>780</v>
      </c>
      <c r="E152" s="262">
        <f t="shared" si="30"/>
        <v>2737082</v>
      </c>
      <c r="F152" s="262">
        <f>2732769+4313</f>
        <v>2737082</v>
      </c>
      <c r="G152" s="262">
        <f>2253756+391814</f>
        <v>2645570</v>
      </c>
      <c r="H152" s="262">
        <f>42032+4313</f>
        <v>46345</v>
      </c>
      <c r="I152" s="262"/>
      <c r="J152" s="262">
        <f t="shared" si="23"/>
        <v>0</v>
      </c>
      <c r="K152" s="262"/>
      <c r="L152" s="262"/>
      <c r="M152" s="262"/>
      <c r="N152" s="262"/>
      <c r="O152" s="262">
        <f t="shared" si="24"/>
        <v>0</v>
      </c>
      <c r="P152" s="263">
        <f t="shared" si="22"/>
        <v>2737082</v>
      </c>
    </row>
    <row r="153" spans="1:16" ht="72">
      <c r="A153" s="71" t="s">
        <v>5</v>
      </c>
      <c r="B153" s="71" t="s">
        <v>6</v>
      </c>
      <c r="C153" s="71" t="s">
        <v>779</v>
      </c>
      <c r="D153" s="51" t="s">
        <v>7</v>
      </c>
      <c r="E153" s="262">
        <f t="shared" si="30"/>
        <v>4354762</v>
      </c>
      <c r="F153" s="262">
        <f>3651500+85835+199300+73876+49950+12981+183600+14320+71880+11520</f>
        <v>4354762</v>
      </c>
      <c r="G153" s="262"/>
      <c r="H153" s="262"/>
      <c r="I153" s="262"/>
      <c r="J153" s="262">
        <f t="shared" si="23"/>
        <v>0</v>
      </c>
      <c r="K153" s="262"/>
      <c r="L153" s="262"/>
      <c r="M153" s="262"/>
      <c r="N153" s="262"/>
      <c r="O153" s="262">
        <f t="shared" si="24"/>
        <v>0</v>
      </c>
      <c r="P153" s="263">
        <f t="shared" si="22"/>
        <v>4354762</v>
      </c>
    </row>
    <row r="154" spans="1:16" ht="120">
      <c r="A154" s="71" t="s">
        <v>8</v>
      </c>
      <c r="B154" s="71" t="s">
        <v>9</v>
      </c>
      <c r="C154" s="71" t="s">
        <v>779</v>
      </c>
      <c r="D154" s="56" t="s">
        <v>416</v>
      </c>
      <c r="E154" s="262">
        <f t="shared" si="30"/>
        <v>1996940</v>
      </c>
      <c r="F154" s="262">
        <f>1630200+19550+54298+248892+44000</f>
        <v>1996940</v>
      </c>
      <c r="G154" s="262"/>
      <c r="H154" s="262"/>
      <c r="I154" s="262"/>
      <c r="J154" s="262">
        <f t="shared" si="23"/>
        <v>0</v>
      </c>
      <c r="K154" s="262"/>
      <c r="L154" s="262"/>
      <c r="M154" s="262"/>
      <c r="N154" s="262"/>
      <c r="O154" s="262">
        <f t="shared" si="24"/>
        <v>0</v>
      </c>
      <c r="P154" s="263">
        <f t="shared" si="22"/>
        <v>1996940</v>
      </c>
    </row>
    <row r="155" spans="1:16" ht="48">
      <c r="A155" s="71" t="s">
        <v>10</v>
      </c>
      <c r="B155" s="71" t="s">
        <v>11</v>
      </c>
      <c r="C155" s="71" t="s">
        <v>779</v>
      </c>
      <c r="D155" s="56" t="s">
        <v>12</v>
      </c>
      <c r="E155" s="262">
        <f t="shared" si="30"/>
        <v>245833</v>
      </c>
      <c r="F155" s="262">
        <f>226000+3712+2578+43+13500</f>
        <v>245833</v>
      </c>
      <c r="G155" s="262">
        <f>215110+3712+2578+43</f>
        <v>221443</v>
      </c>
      <c r="H155" s="262">
        <v>5028</v>
      </c>
      <c r="I155" s="262"/>
      <c r="J155" s="262">
        <f t="shared" si="23"/>
        <v>0</v>
      </c>
      <c r="K155" s="262"/>
      <c r="L155" s="262"/>
      <c r="M155" s="262"/>
      <c r="N155" s="262"/>
      <c r="O155" s="262">
        <f t="shared" si="24"/>
        <v>0</v>
      </c>
      <c r="P155" s="263">
        <f t="shared" si="22"/>
        <v>245833</v>
      </c>
    </row>
    <row r="156" spans="1:18" ht="72">
      <c r="A156" s="74" t="s">
        <v>131</v>
      </c>
      <c r="B156" s="74" t="s">
        <v>132</v>
      </c>
      <c r="C156" s="71" t="s">
        <v>718</v>
      </c>
      <c r="D156" s="56" t="s">
        <v>133</v>
      </c>
      <c r="E156" s="269"/>
      <c r="F156" s="269"/>
      <c r="G156" s="269"/>
      <c r="H156" s="269"/>
      <c r="I156" s="269"/>
      <c r="J156" s="269">
        <f t="shared" si="23"/>
        <v>140758</v>
      </c>
      <c r="K156" s="269">
        <f>575498+50006-50006-105650-329090</f>
        <v>140758</v>
      </c>
      <c r="L156" s="269"/>
      <c r="M156" s="269"/>
      <c r="N156" s="269"/>
      <c r="O156" s="269">
        <f>K156</f>
        <v>140758</v>
      </c>
      <c r="P156" s="263">
        <f t="shared" si="22"/>
        <v>140758</v>
      </c>
      <c r="R156" s="239"/>
    </row>
    <row r="157" spans="1:16" ht="120">
      <c r="A157" s="71" t="s">
        <v>123</v>
      </c>
      <c r="B157" s="71" t="s">
        <v>96</v>
      </c>
      <c r="C157" s="71" t="s">
        <v>719</v>
      </c>
      <c r="D157" s="51" t="s">
        <v>97</v>
      </c>
      <c r="E157" s="262"/>
      <c r="F157" s="262"/>
      <c r="G157" s="262"/>
      <c r="H157" s="262"/>
      <c r="I157" s="262"/>
      <c r="J157" s="262">
        <f t="shared" si="23"/>
        <v>892798</v>
      </c>
      <c r="K157" s="262">
        <f>174734+738383-20319</f>
        <v>892798</v>
      </c>
      <c r="L157" s="262"/>
      <c r="M157" s="262"/>
      <c r="N157" s="262"/>
      <c r="O157" s="262">
        <f>K157</f>
        <v>892798</v>
      </c>
      <c r="P157" s="263">
        <f t="shared" si="22"/>
        <v>892798</v>
      </c>
    </row>
    <row r="158" spans="1:16" ht="72">
      <c r="A158" s="71" t="s">
        <v>600</v>
      </c>
      <c r="B158" s="71" t="s">
        <v>100</v>
      </c>
      <c r="C158" s="71" t="s">
        <v>719</v>
      </c>
      <c r="D158" s="57" t="s">
        <v>101</v>
      </c>
      <c r="E158" s="262"/>
      <c r="F158" s="262"/>
      <c r="G158" s="262"/>
      <c r="H158" s="262"/>
      <c r="I158" s="262"/>
      <c r="J158" s="262">
        <f t="shared" si="23"/>
        <v>320000</v>
      </c>
      <c r="K158" s="262">
        <v>320000</v>
      </c>
      <c r="L158" s="262"/>
      <c r="M158" s="262"/>
      <c r="N158" s="262"/>
      <c r="O158" s="262">
        <f>K158</f>
        <v>320000</v>
      </c>
      <c r="P158" s="263">
        <f>E158+J158</f>
        <v>320000</v>
      </c>
    </row>
    <row r="159" spans="1:16" ht="48.75" thickBot="1">
      <c r="A159" s="169" t="s">
        <v>13</v>
      </c>
      <c r="B159" s="169" t="s">
        <v>728</v>
      </c>
      <c r="C159" s="169" t="s">
        <v>719</v>
      </c>
      <c r="D159" s="170" t="s">
        <v>729</v>
      </c>
      <c r="E159" s="275">
        <f t="shared" si="30"/>
        <v>4525</v>
      </c>
      <c r="F159" s="275">
        <v>4525</v>
      </c>
      <c r="G159" s="275"/>
      <c r="H159" s="275"/>
      <c r="I159" s="266"/>
      <c r="J159" s="266">
        <f t="shared" si="23"/>
        <v>0</v>
      </c>
      <c r="K159" s="266"/>
      <c r="L159" s="266"/>
      <c r="M159" s="266"/>
      <c r="N159" s="266"/>
      <c r="O159" s="266">
        <f t="shared" si="24"/>
        <v>0</v>
      </c>
      <c r="P159" s="276">
        <f t="shared" si="22"/>
        <v>4525</v>
      </c>
    </row>
    <row r="160" spans="1:16" s="15" customFormat="1" ht="116.25">
      <c r="A160" s="69" t="s">
        <v>14</v>
      </c>
      <c r="B160" s="69"/>
      <c r="C160" s="69"/>
      <c r="D160" s="67" t="s">
        <v>15</v>
      </c>
      <c r="E160" s="267">
        <f>E161</f>
        <v>1494026</v>
      </c>
      <c r="F160" s="267">
        <f aca="true" t="shared" si="31" ref="F160:N160">F161</f>
        <v>1494026</v>
      </c>
      <c r="G160" s="267">
        <f t="shared" si="31"/>
        <v>1241598</v>
      </c>
      <c r="H160" s="267">
        <f t="shared" si="31"/>
        <v>38432</v>
      </c>
      <c r="I160" s="267">
        <f t="shared" si="31"/>
        <v>0</v>
      </c>
      <c r="J160" s="267">
        <f t="shared" si="31"/>
        <v>22860</v>
      </c>
      <c r="K160" s="267">
        <f t="shared" si="31"/>
        <v>22860</v>
      </c>
      <c r="L160" s="267">
        <f t="shared" si="31"/>
        <v>0</v>
      </c>
      <c r="M160" s="267">
        <f t="shared" si="31"/>
        <v>0</v>
      </c>
      <c r="N160" s="267">
        <f t="shared" si="31"/>
        <v>0</v>
      </c>
      <c r="O160" s="267">
        <f t="shared" si="24"/>
        <v>22860</v>
      </c>
      <c r="P160" s="260">
        <f t="shared" si="22"/>
        <v>1516886</v>
      </c>
    </row>
    <row r="161" spans="1:16" s="15" customFormat="1" ht="116.25">
      <c r="A161" s="69" t="s">
        <v>16</v>
      </c>
      <c r="B161" s="69"/>
      <c r="C161" s="69"/>
      <c r="D161" s="67" t="s">
        <v>15</v>
      </c>
      <c r="E161" s="273">
        <f>E162+E163+E164+E165</f>
        <v>1494026</v>
      </c>
      <c r="F161" s="273">
        <f aca="true" t="shared" si="32" ref="F161:O161">F162+F163+F164+F165</f>
        <v>1494026</v>
      </c>
      <c r="G161" s="273">
        <f t="shared" si="32"/>
        <v>1241598</v>
      </c>
      <c r="H161" s="273">
        <f t="shared" si="32"/>
        <v>38432</v>
      </c>
      <c r="I161" s="273">
        <f t="shared" si="32"/>
        <v>0</v>
      </c>
      <c r="J161" s="273">
        <f t="shared" si="32"/>
        <v>22860</v>
      </c>
      <c r="K161" s="273">
        <f t="shared" si="32"/>
        <v>22860</v>
      </c>
      <c r="L161" s="273">
        <f t="shared" si="32"/>
        <v>0</v>
      </c>
      <c r="M161" s="273">
        <f t="shared" si="32"/>
        <v>0</v>
      </c>
      <c r="N161" s="273">
        <f t="shared" si="32"/>
        <v>0</v>
      </c>
      <c r="O161" s="273">
        <f t="shared" si="32"/>
        <v>22860</v>
      </c>
      <c r="P161" s="261">
        <f t="shared" si="22"/>
        <v>1516886</v>
      </c>
    </row>
    <row r="162" spans="1:16" ht="120">
      <c r="A162" s="74" t="s">
        <v>17</v>
      </c>
      <c r="B162" s="74" t="s">
        <v>749</v>
      </c>
      <c r="C162" s="74" t="s">
        <v>654</v>
      </c>
      <c r="D162" s="63" t="s">
        <v>750</v>
      </c>
      <c r="E162" s="262">
        <f>F162</f>
        <v>1307359</v>
      </c>
      <c r="F162" s="262">
        <f>1250263+57096</f>
        <v>1307359</v>
      </c>
      <c r="G162" s="262">
        <f>1184502+57096</f>
        <v>1241598</v>
      </c>
      <c r="H162" s="262">
        <v>38432</v>
      </c>
      <c r="I162" s="262"/>
      <c r="J162" s="262">
        <f t="shared" si="23"/>
        <v>0</v>
      </c>
      <c r="K162" s="262"/>
      <c r="L162" s="262"/>
      <c r="M162" s="262"/>
      <c r="N162" s="262"/>
      <c r="O162" s="262">
        <f t="shared" si="24"/>
        <v>0</v>
      </c>
      <c r="P162" s="263">
        <f t="shared" si="22"/>
        <v>1307359</v>
      </c>
    </row>
    <row r="163" spans="1:16" ht="72">
      <c r="A163" s="74" t="s">
        <v>177</v>
      </c>
      <c r="B163" s="74" t="s">
        <v>132</v>
      </c>
      <c r="C163" s="74" t="s">
        <v>718</v>
      </c>
      <c r="D163" s="63" t="s">
        <v>133</v>
      </c>
      <c r="E163" s="269"/>
      <c r="F163" s="269"/>
      <c r="G163" s="269"/>
      <c r="H163" s="269"/>
      <c r="I163" s="269"/>
      <c r="J163" s="262">
        <f t="shared" si="23"/>
        <v>22860</v>
      </c>
      <c r="K163" s="269">
        <v>22860</v>
      </c>
      <c r="L163" s="269"/>
      <c r="M163" s="269"/>
      <c r="N163" s="269"/>
      <c r="O163" s="262">
        <f t="shared" si="24"/>
        <v>22860</v>
      </c>
      <c r="P163" s="263">
        <f t="shared" si="22"/>
        <v>22860</v>
      </c>
    </row>
    <row r="164" spans="1:16" ht="120" hidden="1">
      <c r="A164" s="74" t="s">
        <v>176</v>
      </c>
      <c r="B164" s="74" t="s">
        <v>96</v>
      </c>
      <c r="C164" s="74" t="s">
        <v>719</v>
      </c>
      <c r="D164" s="63" t="s">
        <v>97</v>
      </c>
      <c r="E164" s="269"/>
      <c r="F164" s="269"/>
      <c r="G164" s="269"/>
      <c r="H164" s="269"/>
      <c r="I164" s="269"/>
      <c r="J164" s="262">
        <f t="shared" si="23"/>
        <v>0</v>
      </c>
      <c r="K164" s="269">
        <f>1945833+4720834-2000000-1000000-1445833-65146-2155688</f>
        <v>0</v>
      </c>
      <c r="L164" s="269"/>
      <c r="M164" s="269"/>
      <c r="N164" s="269"/>
      <c r="O164" s="262">
        <f t="shared" si="24"/>
        <v>0</v>
      </c>
      <c r="P164" s="263">
        <f t="shared" si="22"/>
        <v>0</v>
      </c>
    </row>
    <row r="165" spans="1:16" ht="48.75" thickBot="1">
      <c r="A165" s="73" t="s">
        <v>18</v>
      </c>
      <c r="B165" s="73" t="s">
        <v>728</v>
      </c>
      <c r="C165" s="73" t="s">
        <v>719</v>
      </c>
      <c r="D165" s="64" t="s">
        <v>729</v>
      </c>
      <c r="E165" s="266">
        <f>F165</f>
        <v>186667</v>
      </c>
      <c r="F165" s="266">
        <f>302398-115731</f>
        <v>186667</v>
      </c>
      <c r="G165" s="266"/>
      <c r="H165" s="266"/>
      <c r="I165" s="266"/>
      <c r="J165" s="266">
        <f t="shared" si="23"/>
        <v>0</v>
      </c>
      <c r="K165" s="266"/>
      <c r="L165" s="266"/>
      <c r="M165" s="266"/>
      <c r="N165" s="266"/>
      <c r="O165" s="266">
        <f t="shared" si="24"/>
        <v>0</v>
      </c>
      <c r="P165" s="265">
        <f t="shared" si="22"/>
        <v>186667</v>
      </c>
    </row>
    <row r="166" spans="1:16" s="15" customFormat="1" ht="126.75" customHeight="1">
      <c r="A166" s="69" t="s">
        <v>19</v>
      </c>
      <c r="B166" s="69"/>
      <c r="C166" s="69"/>
      <c r="D166" s="48" t="s">
        <v>20</v>
      </c>
      <c r="E166" s="267">
        <f>E167</f>
        <v>1248720</v>
      </c>
      <c r="F166" s="267">
        <f aca="true" t="shared" si="33" ref="F166:N167">F167</f>
        <v>1248720</v>
      </c>
      <c r="G166" s="267">
        <f t="shared" si="33"/>
        <v>1158854</v>
      </c>
      <c r="H166" s="267">
        <f t="shared" si="33"/>
        <v>43393</v>
      </c>
      <c r="I166" s="267">
        <f t="shared" si="33"/>
        <v>0</v>
      </c>
      <c r="J166" s="267">
        <f t="shared" si="33"/>
        <v>0</v>
      </c>
      <c r="K166" s="267">
        <f t="shared" si="33"/>
        <v>0</v>
      </c>
      <c r="L166" s="267">
        <f t="shared" si="33"/>
        <v>0</v>
      </c>
      <c r="M166" s="267">
        <f t="shared" si="33"/>
        <v>0</v>
      </c>
      <c r="N166" s="267">
        <f t="shared" si="33"/>
        <v>0</v>
      </c>
      <c r="O166" s="267">
        <f t="shared" si="24"/>
        <v>0</v>
      </c>
      <c r="P166" s="260">
        <f t="shared" si="22"/>
        <v>1248720</v>
      </c>
    </row>
    <row r="167" spans="1:16" s="15" customFormat="1" ht="135" customHeight="1">
      <c r="A167" s="69" t="s">
        <v>21</v>
      </c>
      <c r="B167" s="69"/>
      <c r="C167" s="69"/>
      <c r="D167" s="68" t="s">
        <v>20</v>
      </c>
      <c r="E167" s="273">
        <f>E168</f>
        <v>1248720</v>
      </c>
      <c r="F167" s="273">
        <f t="shared" si="33"/>
        <v>1248720</v>
      </c>
      <c r="G167" s="273">
        <f t="shared" si="33"/>
        <v>1158854</v>
      </c>
      <c r="H167" s="273">
        <f t="shared" si="33"/>
        <v>43393</v>
      </c>
      <c r="I167" s="273">
        <f t="shared" si="33"/>
        <v>0</v>
      </c>
      <c r="J167" s="273">
        <f t="shared" si="33"/>
        <v>0</v>
      </c>
      <c r="K167" s="273">
        <f t="shared" si="33"/>
        <v>0</v>
      </c>
      <c r="L167" s="273">
        <f t="shared" si="33"/>
        <v>0</v>
      </c>
      <c r="M167" s="273">
        <f t="shared" si="33"/>
        <v>0</v>
      </c>
      <c r="N167" s="273">
        <f t="shared" si="33"/>
        <v>0</v>
      </c>
      <c r="O167" s="273">
        <f t="shared" si="24"/>
        <v>0</v>
      </c>
      <c r="P167" s="261">
        <f t="shared" si="22"/>
        <v>1248720</v>
      </c>
    </row>
    <row r="168" spans="1:16" ht="120.75" thickBot="1">
      <c r="A168" s="73" t="s">
        <v>22</v>
      </c>
      <c r="B168" s="73" t="s">
        <v>749</v>
      </c>
      <c r="C168" s="73" t="s">
        <v>654</v>
      </c>
      <c r="D168" s="64" t="s">
        <v>23</v>
      </c>
      <c r="E168" s="266">
        <f>F168</f>
        <v>1248720</v>
      </c>
      <c r="F168" s="266">
        <f>1180715+55632+12373</f>
        <v>1248720</v>
      </c>
      <c r="G168" s="266">
        <f>1103222+55632</f>
        <v>1158854</v>
      </c>
      <c r="H168" s="266">
        <v>43393</v>
      </c>
      <c r="I168" s="266"/>
      <c r="J168" s="266">
        <f t="shared" si="23"/>
        <v>0</v>
      </c>
      <c r="K168" s="266"/>
      <c r="L168" s="266"/>
      <c r="M168" s="266"/>
      <c r="N168" s="266"/>
      <c r="O168" s="266">
        <f t="shared" si="24"/>
        <v>0</v>
      </c>
      <c r="P168" s="265">
        <f t="shared" si="22"/>
        <v>1248720</v>
      </c>
    </row>
    <row r="169" spans="1:16" s="15" customFormat="1" ht="156" customHeight="1">
      <c r="A169" s="69" t="s">
        <v>24</v>
      </c>
      <c r="B169" s="69"/>
      <c r="C169" s="69"/>
      <c r="D169" s="67" t="s">
        <v>25</v>
      </c>
      <c r="E169" s="267">
        <f>E170</f>
        <v>4476640</v>
      </c>
      <c r="F169" s="267">
        <f aca="true" t="shared" si="34" ref="F169:N169">F170</f>
        <v>4476640</v>
      </c>
      <c r="G169" s="267">
        <f t="shared" si="34"/>
        <v>2634296</v>
      </c>
      <c r="H169" s="267">
        <f t="shared" si="34"/>
        <v>240268</v>
      </c>
      <c r="I169" s="267">
        <f t="shared" si="34"/>
        <v>0</v>
      </c>
      <c r="J169" s="267">
        <f t="shared" si="34"/>
        <v>2561204</v>
      </c>
      <c r="K169" s="267">
        <f t="shared" si="34"/>
        <v>2561204</v>
      </c>
      <c r="L169" s="267">
        <f t="shared" si="34"/>
        <v>0</v>
      </c>
      <c r="M169" s="267">
        <f t="shared" si="34"/>
        <v>0</v>
      </c>
      <c r="N169" s="267">
        <f t="shared" si="34"/>
        <v>0</v>
      </c>
      <c r="O169" s="267">
        <f t="shared" si="24"/>
        <v>2561204</v>
      </c>
      <c r="P169" s="260">
        <f t="shared" si="22"/>
        <v>7037844</v>
      </c>
    </row>
    <row r="170" spans="1:16" s="15" customFormat="1" ht="159" customHeight="1">
      <c r="A170" s="69" t="s">
        <v>26</v>
      </c>
      <c r="B170" s="69"/>
      <c r="C170" s="69"/>
      <c r="D170" s="67" t="s">
        <v>25</v>
      </c>
      <c r="E170" s="273">
        <f>SUM(E171:E174)</f>
        <v>4476640</v>
      </c>
      <c r="F170" s="273">
        <f aca="true" t="shared" si="35" ref="F170:N170">SUM(F171:F174)</f>
        <v>4476640</v>
      </c>
      <c r="G170" s="273">
        <f t="shared" si="35"/>
        <v>2634296</v>
      </c>
      <c r="H170" s="273">
        <f t="shared" si="35"/>
        <v>240268</v>
      </c>
      <c r="I170" s="273">
        <f t="shared" si="35"/>
        <v>0</v>
      </c>
      <c r="J170" s="273">
        <f t="shared" si="35"/>
        <v>2561204</v>
      </c>
      <c r="K170" s="273">
        <f t="shared" si="35"/>
        <v>2561204</v>
      </c>
      <c r="L170" s="273">
        <f t="shared" si="35"/>
        <v>0</v>
      </c>
      <c r="M170" s="273">
        <f t="shared" si="35"/>
        <v>0</v>
      </c>
      <c r="N170" s="273">
        <f t="shared" si="35"/>
        <v>0</v>
      </c>
      <c r="O170" s="273">
        <f t="shared" si="24"/>
        <v>2561204</v>
      </c>
      <c r="P170" s="261">
        <f t="shared" si="22"/>
        <v>7037844</v>
      </c>
    </row>
    <row r="171" spans="1:16" ht="120">
      <c r="A171" s="71" t="s">
        <v>27</v>
      </c>
      <c r="B171" s="71" t="s">
        <v>749</v>
      </c>
      <c r="C171" s="71" t="s">
        <v>654</v>
      </c>
      <c r="D171" s="51" t="s">
        <v>750</v>
      </c>
      <c r="E171" s="262">
        <f>F171</f>
        <v>2369710</v>
      </c>
      <c r="F171" s="262">
        <f>2272854+96856</f>
        <v>2369710</v>
      </c>
      <c r="G171" s="262">
        <f>2178886+96856</f>
        <v>2275742</v>
      </c>
      <c r="H171" s="262">
        <v>60163</v>
      </c>
      <c r="I171" s="262"/>
      <c r="J171" s="262">
        <f t="shared" si="23"/>
        <v>0</v>
      </c>
      <c r="K171" s="262"/>
      <c r="L171" s="262"/>
      <c r="M171" s="262"/>
      <c r="N171" s="262"/>
      <c r="O171" s="262">
        <f t="shared" si="24"/>
        <v>0</v>
      </c>
      <c r="P171" s="263">
        <f t="shared" si="22"/>
        <v>2369710</v>
      </c>
    </row>
    <row r="172" spans="1:16" ht="48">
      <c r="A172" s="74" t="s">
        <v>28</v>
      </c>
      <c r="B172" s="74" t="s">
        <v>728</v>
      </c>
      <c r="C172" s="74" t="s">
        <v>719</v>
      </c>
      <c r="D172" s="63" t="s">
        <v>29</v>
      </c>
      <c r="E172" s="262">
        <f>F172</f>
        <v>598304</v>
      </c>
      <c r="F172" s="262">
        <f>385512+19994+7916+39651+145231</f>
        <v>598304</v>
      </c>
      <c r="G172" s="262">
        <f>350638+7916</f>
        <v>358554</v>
      </c>
      <c r="H172" s="262">
        <f>34874+145231</f>
        <v>180105</v>
      </c>
      <c r="I172" s="262"/>
      <c r="J172" s="262">
        <f t="shared" si="23"/>
        <v>39000</v>
      </c>
      <c r="K172" s="262">
        <f>39000</f>
        <v>39000</v>
      </c>
      <c r="L172" s="262"/>
      <c r="M172" s="262"/>
      <c r="N172" s="262"/>
      <c r="O172" s="262">
        <f t="shared" si="24"/>
        <v>39000</v>
      </c>
      <c r="P172" s="263">
        <f t="shared" si="22"/>
        <v>637304</v>
      </c>
    </row>
    <row r="173" spans="1:16" ht="96">
      <c r="A173" s="74" t="s">
        <v>270</v>
      </c>
      <c r="B173" s="74" t="s">
        <v>271</v>
      </c>
      <c r="C173" s="74" t="s">
        <v>272</v>
      </c>
      <c r="D173" s="63" t="s">
        <v>273</v>
      </c>
      <c r="E173" s="269">
        <f>F173+I173</f>
        <v>491993</v>
      </c>
      <c r="F173" s="269">
        <f>58915+37290+44542+18345+65636+93582+60553+20450+20690+71990</f>
        <v>491993</v>
      </c>
      <c r="G173" s="269"/>
      <c r="H173" s="269"/>
      <c r="I173" s="269"/>
      <c r="J173" s="269">
        <f>L173+O173</f>
        <v>2437709</v>
      </c>
      <c r="K173" s="269">
        <f>15300+69165+1000000+1353244</f>
        <v>2437709</v>
      </c>
      <c r="L173" s="269"/>
      <c r="M173" s="269"/>
      <c r="N173" s="269"/>
      <c r="O173" s="269">
        <f>K173</f>
        <v>2437709</v>
      </c>
      <c r="P173" s="263">
        <f t="shared" si="22"/>
        <v>2929702</v>
      </c>
    </row>
    <row r="174" spans="1:16" ht="48.75" thickBot="1">
      <c r="A174" s="73" t="s">
        <v>30</v>
      </c>
      <c r="B174" s="73" t="s">
        <v>31</v>
      </c>
      <c r="C174" s="73" t="s">
        <v>732</v>
      </c>
      <c r="D174" s="64" t="s">
        <v>32</v>
      </c>
      <c r="E174" s="266">
        <f>F174</f>
        <v>1016633</v>
      </c>
      <c r="F174" s="266">
        <f>200000-18846+20000+100000-9399+200000+165920-19994+88960+128728+19712+141552</f>
        <v>1016633</v>
      </c>
      <c r="G174" s="266"/>
      <c r="H174" s="266"/>
      <c r="I174" s="266"/>
      <c r="J174" s="266">
        <f t="shared" si="23"/>
        <v>84495</v>
      </c>
      <c r="K174" s="266">
        <f>18846+9399+66012-19712+9950</f>
        <v>84495</v>
      </c>
      <c r="L174" s="266"/>
      <c r="M174" s="266"/>
      <c r="N174" s="266"/>
      <c r="O174" s="266">
        <f t="shared" si="24"/>
        <v>84495</v>
      </c>
      <c r="P174" s="265">
        <f t="shared" si="22"/>
        <v>1101128</v>
      </c>
    </row>
    <row r="175" spans="1:16" s="15" customFormat="1" ht="139.5" customHeight="1">
      <c r="A175" s="69" t="s">
        <v>33</v>
      </c>
      <c r="B175" s="69"/>
      <c r="C175" s="69"/>
      <c r="D175" s="48" t="s">
        <v>34</v>
      </c>
      <c r="E175" s="267">
        <f>E176</f>
        <v>12476292</v>
      </c>
      <c r="F175" s="267">
        <f aca="true" t="shared" si="36" ref="F175:N175">F176</f>
        <v>12476292</v>
      </c>
      <c r="G175" s="267">
        <f t="shared" si="36"/>
        <v>6225740</v>
      </c>
      <c r="H175" s="267">
        <f t="shared" si="36"/>
        <v>871929</v>
      </c>
      <c r="I175" s="267">
        <f t="shared" si="36"/>
        <v>0</v>
      </c>
      <c r="J175" s="267">
        <f t="shared" si="36"/>
        <v>5423613</v>
      </c>
      <c r="K175" s="267">
        <f t="shared" si="36"/>
        <v>5336340</v>
      </c>
      <c r="L175" s="267">
        <f t="shared" si="36"/>
        <v>87273</v>
      </c>
      <c r="M175" s="267">
        <f t="shared" si="36"/>
        <v>0</v>
      </c>
      <c r="N175" s="267">
        <f t="shared" si="36"/>
        <v>0</v>
      </c>
      <c r="O175" s="267">
        <f t="shared" si="24"/>
        <v>5336340</v>
      </c>
      <c r="P175" s="260">
        <f t="shared" si="22"/>
        <v>17899905</v>
      </c>
    </row>
    <row r="176" spans="1:16" s="15" customFormat="1" ht="154.5" customHeight="1">
      <c r="A176" s="70" t="s">
        <v>35</v>
      </c>
      <c r="B176" s="70"/>
      <c r="C176" s="70"/>
      <c r="D176" s="48" t="s">
        <v>34</v>
      </c>
      <c r="E176" s="273">
        <f>SUM(E177:E188)</f>
        <v>12476292</v>
      </c>
      <c r="F176" s="273">
        <f aca="true" t="shared" si="37" ref="F176:N176">SUM(F177:F188)</f>
        <v>12476292</v>
      </c>
      <c r="G176" s="273">
        <f t="shared" si="37"/>
        <v>6225740</v>
      </c>
      <c r="H176" s="273">
        <f t="shared" si="37"/>
        <v>871929</v>
      </c>
      <c r="I176" s="273">
        <f t="shared" si="37"/>
        <v>0</v>
      </c>
      <c r="J176" s="273">
        <f t="shared" si="37"/>
        <v>5423613</v>
      </c>
      <c r="K176" s="273">
        <f t="shared" si="37"/>
        <v>5336340</v>
      </c>
      <c r="L176" s="273">
        <f t="shared" si="37"/>
        <v>87273</v>
      </c>
      <c r="M176" s="273">
        <f t="shared" si="37"/>
        <v>0</v>
      </c>
      <c r="N176" s="273">
        <f t="shared" si="37"/>
        <v>0</v>
      </c>
      <c r="O176" s="273">
        <f t="shared" si="24"/>
        <v>5336340</v>
      </c>
      <c r="P176" s="261">
        <f t="shared" si="22"/>
        <v>17899905</v>
      </c>
    </row>
    <row r="177" spans="1:16" ht="120">
      <c r="A177" s="71" t="s">
        <v>36</v>
      </c>
      <c r="B177" s="71" t="s">
        <v>749</v>
      </c>
      <c r="C177" s="71" t="s">
        <v>654</v>
      </c>
      <c r="D177" s="51" t="s">
        <v>750</v>
      </c>
      <c r="E177" s="262">
        <f>F177</f>
        <v>6826541</v>
      </c>
      <c r="F177" s="262">
        <f>5050013+8519-16922+225310+1559621</f>
        <v>6826541</v>
      </c>
      <c r="G177" s="262">
        <f>4582418+225310+1380720</f>
        <v>6188448</v>
      </c>
      <c r="H177" s="262">
        <f>168488-16922+79937</f>
        <v>231503</v>
      </c>
      <c r="I177" s="262"/>
      <c r="J177" s="262">
        <f t="shared" si="23"/>
        <v>87273</v>
      </c>
      <c r="K177" s="262"/>
      <c r="L177" s="262">
        <f>66273+21000</f>
        <v>87273</v>
      </c>
      <c r="M177" s="262"/>
      <c r="N177" s="262"/>
      <c r="O177" s="262">
        <f t="shared" si="24"/>
        <v>0</v>
      </c>
      <c r="P177" s="263">
        <f t="shared" si="22"/>
        <v>6913814</v>
      </c>
    </row>
    <row r="178" spans="1:16" ht="48">
      <c r="A178" s="71" t="s">
        <v>178</v>
      </c>
      <c r="B178" s="71" t="s">
        <v>151</v>
      </c>
      <c r="C178" s="71" t="s">
        <v>152</v>
      </c>
      <c r="D178" s="56" t="s">
        <v>153</v>
      </c>
      <c r="E178" s="262">
        <f>F178</f>
        <v>37292</v>
      </c>
      <c r="F178" s="262">
        <f>24638+12654</f>
        <v>37292</v>
      </c>
      <c r="G178" s="262">
        <f>24638+12654</f>
        <v>37292</v>
      </c>
      <c r="H178" s="262"/>
      <c r="I178" s="262"/>
      <c r="J178" s="262"/>
      <c r="K178" s="262"/>
      <c r="L178" s="262"/>
      <c r="M178" s="262"/>
      <c r="N178" s="262"/>
      <c r="O178" s="262"/>
      <c r="P178" s="263">
        <f t="shared" si="22"/>
        <v>37292</v>
      </c>
    </row>
    <row r="179" spans="1:16" ht="48">
      <c r="A179" s="71" t="s">
        <v>90</v>
      </c>
      <c r="B179" s="71" t="s">
        <v>699</v>
      </c>
      <c r="C179" s="71" t="s">
        <v>696</v>
      </c>
      <c r="D179" s="51" t="s">
        <v>700</v>
      </c>
      <c r="E179" s="262">
        <f>F179</f>
        <v>44480</v>
      </c>
      <c r="F179" s="262">
        <v>44480</v>
      </c>
      <c r="G179" s="262"/>
      <c r="H179" s="262"/>
      <c r="I179" s="262"/>
      <c r="J179" s="262">
        <f t="shared" si="23"/>
        <v>0</v>
      </c>
      <c r="K179" s="262"/>
      <c r="L179" s="262"/>
      <c r="M179" s="262"/>
      <c r="N179" s="262"/>
      <c r="O179" s="262">
        <f t="shared" si="24"/>
        <v>0</v>
      </c>
      <c r="P179" s="263">
        <f t="shared" si="22"/>
        <v>44480</v>
      </c>
    </row>
    <row r="180" spans="1:16" ht="96">
      <c r="A180" s="71" t="s">
        <v>37</v>
      </c>
      <c r="B180" s="71" t="s">
        <v>702</v>
      </c>
      <c r="C180" s="71" t="s">
        <v>696</v>
      </c>
      <c r="D180" s="51" t="s">
        <v>703</v>
      </c>
      <c r="E180" s="262">
        <f aca="true" t="shared" si="38" ref="E180:E188">F180</f>
        <v>325522</v>
      </c>
      <c r="F180" s="262">
        <f>55000+270522</f>
        <v>325522</v>
      </c>
      <c r="G180" s="262"/>
      <c r="H180" s="262"/>
      <c r="I180" s="262"/>
      <c r="J180" s="262">
        <f t="shared" si="23"/>
        <v>0</v>
      </c>
      <c r="K180" s="262"/>
      <c r="L180" s="262"/>
      <c r="M180" s="262"/>
      <c r="N180" s="262"/>
      <c r="O180" s="262">
        <f t="shared" si="24"/>
        <v>0</v>
      </c>
      <c r="P180" s="263">
        <f t="shared" si="22"/>
        <v>325522</v>
      </c>
    </row>
    <row r="181" spans="1:16" ht="48">
      <c r="A181" s="71" t="s">
        <v>38</v>
      </c>
      <c r="B181" s="71" t="s">
        <v>708</v>
      </c>
      <c r="C181" s="71" t="s">
        <v>696</v>
      </c>
      <c r="D181" s="51" t="s">
        <v>709</v>
      </c>
      <c r="E181" s="262">
        <f t="shared" si="38"/>
        <v>2786149</v>
      </c>
      <c r="F181" s="262">
        <f>2039358+511184+144987-12654+25970+49226+28078</f>
        <v>2786149</v>
      </c>
      <c r="G181" s="262"/>
      <c r="H181" s="262">
        <f>587926+50526</f>
        <v>638452</v>
      </c>
      <c r="I181" s="262"/>
      <c r="J181" s="262">
        <f t="shared" si="23"/>
        <v>698188</v>
      </c>
      <c r="K181" s="262">
        <f>199980+108131+385200+8000-3123</f>
        <v>698188</v>
      </c>
      <c r="L181" s="262"/>
      <c r="M181" s="262"/>
      <c r="N181" s="262"/>
      <c r="O181" s="262">
        <f t="shared" si="24"/>
        <v>698188</v>
      </c>
      <c r="P181" s="263">
        <f t="shared" si="22"/>
        <v>3484337</v>
      </c>
    </row>
    <row r="182" spans="1:16" ht="48">
      <c r="A182" s="71" t="s">
        <v>88</v>
      </c>
      <c r="B182" s="71" t="s">
        <v>89</v>
      </c>
      <c r="C182" s="71" t="s">
        <v>696</v>
      </c>
      <c r="D182" s="51" t="s">
        <v>91</v>
      </c>
      <c r="E182" s="262">
        <f t="shared" si="38"/>
        <v>548324</v>
      </c>
      <c r="F182" s="262">
        <f>199000+299792+49532</f>
        <v>548324</v>
      </c>
      <c r="G182" s="262"/>
      <c r="H182" s="262"/>
      <c r="I182" s="262"/>
      <c r="J182" s="262">
        <f t="shared" si="23"/>
        <v>96050</v>
      </c>
      <c r="K182" s="262">
        <f>75050+21000</f>
        <v>96050</v>
      </c>
      <c r="L182" s="262"/>
      <c r="M182" s="262"/>
      <c r="N182" s="262"/>
      <c r="O182" s="262">
        <f t="shared" si="24"/>
        <v>96050</v>
      </c>
      <c r="P182" s="263">
        <f t="shared" si="22"/>
        <v>644374</v>
      </c>
    </row>
    <row r="183" spans="1:16" ht="48">
      <c r="A183" s="71" t="s">
        <v>39</v>
      </c>
      <c r="B183" s="71" t="s">
        <v>715</v>
      </c>
      <c r="C183" s="71" t="s">
        <v>716</v>
      </c>
      <c r="D183" s="51" t="s">
        <v>717</v>
      </c>
      <c r="E183" s="262">
        <f t="shared" si="38"/>
        <v>47380</v>
      </c>
      <c r="F183" s="262">
        <f>122576-75196</f>
        <v>47380</v>
      </c>
      <c r="G183" s="262"/>
      <c r="H183" s="262"/>
      <c r="I183" s="262"/>
      <c r="J183" s="262">
        <f t="shared" si="23"/>
        <v>0</v>
      </c>
      <c r="K183" s="262"/>
      <c r="L183" s="262"/>
      <c r="M183" s="262"/>
      <c r="N183" s="262"/>
      <c r="O183" s="262">
        <f t="shared" si="24"/>
        <v>0</v>
      </c>
      <c r="P183" s="263">
        <f t="shared" si="22"/>
        <v>47380</v>
      </c>
    </row>
    <row r="184" spans="1:16" ht="72">
      <c r="A184" s="71" t="s">
        <v>85</v>
      </c>
      <c r="B184" s="71" t="s">
        <v>86</v>
      </c>
      <c r="C184" s="71" t="s">
        <v>718</v>
      </c>
      <c r="D184" s="51" t="s">
        <v>87</v>
      </c>
      <c r="E184" s="262">
        <f t="shared" si="38"/>
        <v>0</v>
      </c>
      <c r="F184" s="262"/>
      <c r="G184" s="262"/>
      <c r="H184" s="262"/>
      <c r="I184" s="262"/>
      <c r="J184" s="262">
        <f t="shared" si="23"/>
        <v>324298</v>
      </c>
      <c r="K184" s="262">
        <f>575278+50000-299792-1188</f>
        <v>324298</v>
      </c>
      <c r="L184" s="262"/>
      <c r="M184" s="262"/>
      <c r="N184" s="262"/>
      <c r="O184" s="262">
        <f t="shared" si="24"/>
        <v>324298</v>
      </c>
      <c r="P184" s="263">
        <f t="shared" si="22"/>
        <v>324298</v>
      </c>
    </row>
    <row r="185" spans="1:16" ht="48">
      <c r="A185" s="71" t="s">
        <v>40</v>
      </c>
      <c r="B185" s="71" t="s">
        <v>41</v>
      </c>
      <c r="C185" s="71" t="s">
        <v>718</v>
      </c>
      <c r="D185" s="51" t="s">
        <v>42</v>
      </c>
      <c r="E185" s="262">
        <f t="shared" si="38"/>
        <v>0</v>
      </c>
      <c r="F185" s="262"/>
      <c r="G185" s="262"/>
      <c r="H185" s="262"/>
      <c r="I185" s="262"/>
      <c r="J185" s="262">
        <f t="shared" si="23"/>
        <v>2886104</v>
      </c>
      <c r="K185" s="262">
        <f>667868+424269+1450000+35459+149976+49950+35500-26890+99972</f>
        <v>2886104</v>
      </c>
      <c r="L185" s="262"/>
      <c r="M185" s="262"/>
      <c r="N185" s="262"/>
      <c r="O185" s="262">
        <f t="shared" si="24"/>
        <v>2886104</v>
      </c>
      <c r="P185" s="263">
        <f t="shared" si="22"/>
        <v>2886104</v>
      </c>
    </row>
    <row r="186" spans="1:16" ht="96">
      <c r="A186" s="71" t="s">
        <v>43</v>
      </c>
      <c r="B186" s="71" t="s">
        <v>44</v>
      </c>
      <c r="C186" s="71" t="s">
        <v>718</v>
      </c>
      <c r="D186" s="51" t="s">
        <v>45</v>
      </c>
      <c r="E186" s="262">
        <f t="shared" si="38"/>
        <v>0</v>
      </c>
      <c r="F186" s="262"/>
      <c r="G186" s="262"/>
      <c r="H186" s="262"/>
      <c r="I186" s="262"/>
      <c r="J186" s="262">
        <f t="shared" si="23"/>
        <v>93500</v>
      </c>
      <c r="K186" s="262">
        <v>93500</v>
      </c>
      <c r="L186" s="262"/>
      <c r="M186" s="262"/>
      <c r="N186" s="262"/>
      <c r="O186" s="262">
        <f t="shared" si="24"/>
        <v>93500</v>
      </c>
      <c r="P186" s="263">
        <f t="shared" si="22"/>
        <v>93500</v>
      </c>
    </row>
    <row r="187" spans="1:16" ht="120">
      <c r="A187" s="71" t="s">
        <v>46</v>
      </c>
      <c r="B187" s="71" t="s">
        <v>721</v>
      </c>
      <c r="C187" s="71" t="s">
        <v>722</v>
      </c>
      <c r="D187" s="51" t="s">
        <v>723</v>
      </c>
      <c r="E187" s="262">
        <f t="shared" si="38"/>
        <v>1855038</v>
      </c>
      <c r="F187" s="262">
        <f>1609406+225077+190000-151568-17877</f>
        <v>1855038</v>
      </c>
      <c r="G187" s="262"/>
      <c r="H187" s="262"/>
      <c r="I187" s="262"/>
      <c r="J187" s="262">
        <f t="shared" si="23"/>
        <v>1238200</v>
      </c>
      <c r="K187" s="262">
        <f>1189802+48398</f>
        <v>1238200</v>
      </c>
      <c r="L187" s="262"/>
      <c r="M187" s="262"/>
      <c r="N187" s="262"/>
      <c r="O187" s="262">
        <f t="shared" si="24"/>
        <v>1238200</v>
      </c>
      <c r="P187" s="263">
        <f t="shared" si="22"/>
        <v>3093238</v>
      </c>
    </row>
    <row r="188" spans="1:16" ht="61.5" customHeight="1" thickBot="1">
      <c r="A188" s="73" t="s">
        <v>47</v>
      </c>
      <c r="B188" s="73" t="s">
        <v>728</v>
      </c>
      <c r="C188" s="73" t="s">
        <v>719</v>
      </c>
      <c r="D188" s="64" t="s">
        <v>729</v>
      </c>
      <c r="E188" s="266">
        <f t="shared" si="38"/>
        <v>5566</v>
      </c>
      <c r="F188" s="266">
        <f>3974+1592</f>
        <v>5566</v>
      </c>
      <c r="G188" s="266"/>
      <c r="H188" s="266">
        <v>1974</v>
      </c>
      <c r="I188" s="266"/>
      <c r="J188" s="266">
        <f t="shared" si="23"/>
        <v>0</v>
      </c>
      <c r="K188" s="266"/>
      <c r="L188" s="266"/>
      <c r="M188" s="266"/>
      <c r="N188" s="266"/>
      <c r="O188" s="266">
        <f t="shared" si="24"/>
        <v>0</v>
      </c>
      <c r="P188" s="265">
        <f t="shared" si="22"/>
        <v>5566</v>
      </c>
    </row>
    <row r="189" spans="1:16" s="15" customFormat="1" ht="92.25" customHeight="1">
      <c r="A189" s="69" t="s">
        <v>48</v>
      </c>
      <c r="B189" s="69"/>
      <c r="C189" s="69"/>
      <c r="D189" s="67" t="s">
        <v>49</v>
      </c>
      <c r="E189" s="267">
        <f>E190</f>
        <v>1916226</v>
      </c>
      <c r="F189" s="267">
        <f aca="true" t="shared" si="39" ref="F189:N190">F190</f>
        <v>1916226</v>
      </c>
      <c r="G189" s="267">
        <f t="shared" si="39"/>
        <v>1682351</v>
      </c>
      <c r="H189" s="267">
        <f t="shared" si="39"/>
        <v>68238</v>
      </c>
      <c r="I189" s="267">
        <f t="shared" si="39"/>
        <v>0</v>
      </c>
      <c r="J189" s="267">
        <f t="shared" si="39"/>
        <v>0</v>
      </c>
      <c r="K189" s="267">
        <f t="shared" si="39"/>
        <v>0</v>
      </c>
      <c r="L189" s="267">
        <f t="shared" si="39"/>
        <v>0</v>
      </c>
      <c r="M189" s="267">
        <f t="shared" si="39"/>
        <v>0</v>
      </c>
      <c r="N189" s="267">
        <f t="shared" si="39"/>
        <v>0</v>
      </c>
      <c r="O189" s="267">
        <f t="shared" si="24"/>
        <v>0</v>
      </c>
      <c r="P189" s="260">
        <f t="shared" si="22"/>
        <v>1916226</v>
      </c>
    </row>
    <row r="190" spans="1:16" s="15" customFormat="1" ht="88.5" customHeight="1">
      <c r="A190" s="69" t="s">
        <v>50</v>
      </c>
      <c r="B190" s="69"/>
      <c r="C190" s="69"/>
      <c r="D190" s="67" t="s">
        <v>49</v>
      </c>
      <c r="E190" s="273">
        <f>E191</f>
        <v>1916226</v>
      </c>
      <c r="F190" s="273">
        <f t="shared" si="39"/>
        <v>1916226</v>
      </c>
      <c r="G190" s="273">
        <f t="shared" si="39"/>
        <v>1682351</v>
      </c>
      <c r="H190" s="273">
        <f t="shared" si="39"/>
        <v>68238</v>
      </c>
      <c r="I190" s="273">
        <f t="shared" si="39"/>
        <v>0</v>
      </c>
      <c r="J190" s="273">
        <f t="shared" si="39"/>
        <v>0</v>
      </c>
      <c r="K190" s="273">
        <f t="shared" si="39"/>
        <v>0</v>
      </c>
      <c r="L190" s="273">
        <f t="shared" si="39"/>
        <v>0</v>
      </c>
      <c r="M190" s="273">
        <f t="shared" si="39"/>
        <v>0</v>
      </c>
      <c r="N190" s="273">
        <f t="shared" si="39"/>
        <v>0</v>
      </c>
      <c r="O190" s="273">
        <f t="shared" si="24"/>
        <v>0</v>
      </c>
      <c r="P190" s="261">
        <f t="shared" si="22"/>
        <v>1916226</v>
      </c>
    </row>
    <row r="191" spans="1:16" ht="144" customHeight="1" thickBot="1">
      <c r="A191" s="73" t="s">
        <v>51</v>
      </c>
      <c r="B191" s="73" t="s">
        <v>749</v>
      </c>
      <c r="C191" s="73" t="s">
        <v>654</v>
      </c>
      <c r="D191" s="64" t="s">
        <v>750</v>
      </c>
      <c r="E191" s="266">
        <f>F191</f>
        <v>1916226</v>
      </c>
      <c r="F191" s="266">
        <f>1760259+77830+67000+11137</f>
        <v>1916226</v>
      </c>
      <c r="G191" s="266">
        <f>1604521+77830</f>
        <v>1682351</v>
      </c>
      <c r="H191" s="266">
        <v>68238</v>
      </c>
      <c r="I191" s="266"/>
      <c r="J191" s="266">
        <f t="shared" si="23"/>
        <v>0</v>
      </c>
      <c r="K191" s="266"/>
      <c r="L191" s="266"/>
      <c r="M191" s="266"/>
      <c r="N191" s="266"/>
      <c r="O191" s="266">
        <f t="shared" si="24"/>
        <v>0</v>
      </c>
      <c r="P191" s="265">
        <f t="shared" si="22"/>
        <v>1916226</v>
      </c>
    </row>
    <row r="192" spans="1:16" s="15" customFormat="1" ht="90.75" customHeight="1">
      <c r="A192" s="69" t="s">
        <v>52</v>
      </c>
      <c r="B192" s="69"/>
      <c r="C192" s="69"/>
      <c r="D192" s="67" t="s">
        <v>53</v>
      </c>
      <c r="E192" s="267">
        <f aca="true" t="shared" si="40" ref="E192:N192">E193</f>
        <v>5629667</v>
      </c>
      <c r="F192" s="267">
        <f t="shared" si="40"/>
        <v>5224240</v>
      </c>
      <c r="G192" s="267">
        <f t="shared" si="40"/>
        <v>3124416</v>
      </c>
      <c r="H192" s="267">
        <f t="shared" si="40"/>
        <v>94184</v>
      </c>
      <c r="I192" s="267">
        <f t="shared" si="40"/>
        <v>405000</v>
      </c>
      <c r="J192" s="267">
        <f t="shared" si="40"/>
        <v>0</v>
      </c>
      <c r="K192" s="267">
        <f t="shared" si="40"/>
        <v>0</v>
      </c>
      <c r="L192" s="267">
        <f t="shared" si="40"/>
        <v>0</v>
      </c>
      <c r="M192" s="267">
        <f t="shared" si="40"/>
        <v>0</v>
      </c>
      <c r="N192" s="267">
        <f t="shared" si="40"/>
        <v>0</v>
      </c>
      <c r="O192" s="267">
        <f t="shared" si="24"/>
        <v>0</v>
      </c>
      <c r="P192" s="260">
        <f t="shared" si="22"/>
        <v>5629667</v>
      </c>
    </row>
    <row r="193" spans="1:16" s="15" customFormat="1" ht="87" customHeight="1">
      <c r="A193" s="69" t="s">
        <v>54</v>
      </c>
      <c r="B193" s="69"/>
      <c r="C193" s="69"/>
      <c r="D193" s="67" t="s">
        <v>53</v>
      </c>
      <c r="E193" s="273">
        <f>E194+E195+E197+E200+E196</f>
        <v>5629667</v>
      </c>
      <c r="F193" s="273">
        <f>F194+F195+F197+F200+F196</f>
        <v>5224240</v>
      </c>
      <c r="G193" s="273">
        <f>G194+G195+G197+G200+G196</f>
        <v>3124416</v>
      </c>
      <c r="H193" s="273">
        <f>H194+H195+H197+H200+H196</f>
        <v>94184</v>
      </c>
      <c r="I193" s="273">
        <f>I194+I195+I197+I200+I196</f>
        <v>405000</v>
      </c>
      <c r="J193" s="273">
        <f>J194+J195</f>
        <v>0</v>
      </c>
      <c r="K193" s="273">
        <f>K194+K195</f>
        <v>0</v>
      </c>
      <c r="L193" s="273">
        <f>L194+L195</f>
        <v>0</v>
      </c>
      <c r="M193" s="273">
        <f>M194+M195</f>
        <v>0</v>
      </c>
      <c r="N193" s="273">
        <f>N194+N195</f>
        <v>0</v>
      </c>
      <c r="O193" s="273">
        <f t="shared" si="24"/>
        <v>0</v>
      </c>
      <c r="P193" s="261">
        <f t="shared" si="22"/>
        <v>5629667</v>
      </c>
    </row>
    <row r="194" spans="1:16" ht="137.25" customHeight="1">
      <c r="A194" s="74" t="s">
        <v>55</v>
      </c>
      <c r="B194" s="74" t="s">
        <v>749</v>
      </c>
      <c r="C194" s="74" t="s">
        <v>654</v>
      </c>
      <c r="D194" s="63" t="s">
        <v>750</v>
      </c>
      <c r="E194" s="262">
        <f>F194</f>
        <v>3356621</v>
      </c>
      <c r="F194" s="262">
        <f>3159793+50000+137207+476620-46999-100000-50000-270000</f>
        <v>3356621</v>
      </c>
      <c r="G194" s="262">
        <f>50000+2937209+137207</f>
        <v>3124416</v>
      </c>
      <c r="H194" s="262">
        <v>94184</v>
      </c>
      <c r="I194" s="262"/>
      <c r="J194" s="262">
        <f t="shared" si="23"/>
        <v>0</v>
      </c>
      <c r="K194" s="262"/>
      <c r="L194" s="262"/>
      <c r="M194" s="262"/>
      <c r="N194" s="262"/>
      <c r="O194" s="262">
        <f t="shared" si="24"/>
        <v>0</v>
      </c>
      <c r="P194" s="263">
        <f t="shared" si="22"/>
        <v>3356621</v>
      </c>
    </row>
    <row r="195" spans="1:16" ht="39.75" customHeight="1">
      <c r="A195" s="71" t="s">
        <v>56</v>
      </c>
      <c r="B195" s="71" t="s">
        <v>57</v>
      </c>
      <c r="C195" s="71" t="s">
        <v>661</v>
      </c>
      <c r="D195" s="51" t="s">
        <v>58</v>
      </c>
      <c r="E195" s="262">
        <f>500000+1000000-74215-106455-44542-18345-65636-195908-547635-49532-129796-93582+1000000-60553-1000000+1353000-1353244-20450-20690-71990</f>
        <v>427</v>
      </c>
      <c r="F195" s="262"/>
      <c r="G195" s="262"/>
      <c r="H195" s="262"/>
      <c r="I195" s="262"/>
      <c r="J195" s="262">
        <f t="shared" si="23"/>
        <v>0</v>
      </c>
      <c r="K195" s="262"/>
      <c r="L195" s="262"/>
      <c r="M195" s="262"/>
      <c r="N195" s="262"/>
      <c r="O195" s="262">
        <f t="shared" si="24"/>
        <v>0</v>
      </c>
      <c r="P195" s="263">
        <f t="shared" si="22"/>
        <v>427</v>
      </c>
    </row>
    <row r="196" spans="1:16" ht="180" customHeight="1">
      <c r="A196" s="71" t="s">
        <v>612</v>
      </c>
      <c r="B196" s="71" t="s">
        <v>613</v>
      </c>
      <c r="C196" s="71" t="s">
        <v>660</v>
      </c>
      <c r="D196" s="51" t="s">
        <v>614</v>
      </c>
      <c r="E196" s="262">
        <f>F196</f>
        <v>892421</v>
      </c>
      <c r="F196" s="262">
        <f>831083+61338</f>
        <v>892421</v>
      </c>
      <c r="G196" s="262"/>
      <c r="H196" s="262"/>
      <c r="I196" s="262"/>
      <c r="J196" s="262"/>
      <c r="K196" s="262"/>
      <c r="L196" s="262"/>
      <c r="M196" s="262"/>
      <c r="N196" s="262"/>
      <c r="O196" s="262"/>
      <c r="P196" s="263">
        <f t="shared" si="22"/>
        <v>892421</v>
      </c>
    </row>
    <row r="197" spans="1:16" ht="48">
      <c r="A197" s="71" t="s">
        <v>137</v>
      </c>
      <c r="B197" s="71" t="s">
        <v>138</v>
      </c>
      <c r="C197" s="71" t="s">
        <v>660</v>
      </c>
      <c r="D197" s="51" t="s">
        <v>118</v>
      </c>
      <c r="E197" s="277">
        <f>E199</f>
        <v>202048</v>
      </c>
      <c r="F197" s="277">
        <f>F199</f>
        <v>202048</v>
      </c>
      <c r="G197" s="278">
        <f>G199</f>
        <v>0</v>
      </c>
      <c r="H197" s="278">
        <f>H199</f>
        <v>0</v>
      </c>
      <c r="I197" s="278">
        <f>I199</f>
        <v>0</v>
      </c>
      <c r="J197" s="262"/>
      <c r="K197" s="262"/>
      <c r="L197" s="262"/>
      <c r="M197" s="262"/>
      <c r="N197" s="262"/>
      <c r="O197" s="262"/>
      <c r="P197" s="263">
        <f t="shared" si="22"/>
        <v>202048</v>
      </c>
    </row>
    <row r="198" spans="1:16" ht="29.25" hidden="1">
      <c r="A198" s="71"/>
      <c r="B198" s="71"/>
      <c r="C198" s="71"/>
      <c r="D198" s="51" t="s">
        <v>139</v>
      </c>
      <c r="E198" s="278"/>
      <c r="F198" s="278"/>
      <c r="G198" s="278"/>
      <c r="H198" s="278"/>
      <c r="I198" s="278"/>
      <c r="J198" s="262"/>
      <c r="K198" s="262"/>
      <c r="L198" s="262"/>
      <c r="M198" s="262"/>
      <c r="N198" s="262"/>
      <c r="O198" s="262"/>
      <c r="P198" s="263">
        <f aca="true" t="shared" si="41" ref="P198:P209">E198+J198</f>
        <v>0</v>
      </c>
    </row>
    <row r="199" spans="1:16" ht="120" hidden="1">
      <c r="A199" s="71"/>
      <c r="B199" s="71"/>
      <c r="C199" s="71"/>
      <c r="D199" s="51" t="s">
        <v>140</v>
      </c>
      <c r="E199" s="277">
        <f>F199+H199</f>
        <v>202048</v>
      </c>
      <c r="F199" s="277">
        <v>202048</v>
      </c>
      <c r="G199" s="278"/>
      <c r="H199" s="278"/>
      <c r="I199" s="278"/>
      <c r="J199" s="262"/>
      <c r="K199" s="262"/>
      <c r="L199" s="262"/>
      <c r="M199" s="262"/>
      <c r="N199" s="262"/>
      <c r="O199" s="262"/>
      <c r="P199" s="263">
        <f t="shared" si="41"/>
        <v>202048</v>
      </c>
    </row>
    <row r="200" spans="1:16" ht="151.5" customHeight="1">
      <c r="A200" s="71" t="s">
        <v>141</v>
      </c>
      <c r="B200" s="71" t="s">
        <v>142</v>
      </c>
      <c r="C200" s="71" t="s">
        <v>660</v>
      </c>
      <c r="D200" s="51" t="s">
        <v>143</v>
      </c>
      <c r="E200" s="262">
        <f>SUM(E202:E209)</f>
        <v>1178150</v>
      </c>
      <c r="F200" s="262">
        <f>SUM(F202:F209)</f>
        <v>773150</v>
      </c>
      <c r="G200" s="262">
        <f>SUM(G202:G209)</f>
        <v>0</v>
      </c>
      <c r="H200" s="262">
        <f>SUM(H202:H209)</f>
        <v>0</v>
      </c>
      <c r="I200" s="262">
        <f>SUM(I202:I209)</f>
        <v>405000</v>
      </c>
      <c r="J200" s="262"/>
      <c r="K200" s="262"/>
      <c r="L200" s="262"/>
      <c r="M200" s="262"/>
      <c r="N200" s="262"/>
      <c r="O200" s="262"/>
      <c r="P200" s="263">
        <f t="shared" si="41"/>
        <v>1178150</v>
      </c>
    </row>
    <row r="201" spans="1:16" ht="29.25" hidden="1">
      <c r="A201" s="71"/>
      <c r="B201" s="71"/>
      <c r="C201" s="71"/>
      <c r="D201" s="51" t="s">
        <v>139</v>
      </c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3">
        <f t="shared" si="41"/>
        <v>0</v>
      </c>
    </row>
    <row r="202" spans="1:16" ht="144" hidden="1">
      <c r="A202" s="71"/>
      <c r="B202" s="71"/>
      <c r="C202" s="71"/>
      <c r="D202" s="51" t="s">
        <v>144</v>
      </c>
      <c r="E202" s="262">
        <f aca="true" t="shared" si="42" ref="E202:E208">F202+I202</f>
        <v>300000</v>
      </c>
      <c r="F202" s="262"/>
      <c r="G202" s="262"/>
      <c r="H202" s="262"/>
      <c r="I202" s="262">
        <v>300000</v>
      </c>
      <c r="J202" s="262"/>
      <c r="K202" s="262"/>
      <c r="L202" s="262"/>
      <c r="M202" s="262"/>
      <c r="N202" s="262"/>
      <c r="O202" s="262"/>
      <c r="P202" s="263">
        <f t="shared" si="41"/>
        <v>300000</v>
      </c>
    </row>
    <row r="203" spans="1:16" ht="120" hidden="1">
      <c r="A203" s="71"/>
      <c r="B203" s="71"/>
      <c r="C203" s="71"/>
      <c r="D203" s="50" t="s">
        <v>145</v>
      </c>
      <c r="E203" s="262">
        <f t="shared" si="42"/>
        <v>250000</v>
      </c>
      <c r="F203" s="262">
        <f>120000+20000+50000</f>
        <v>190000</v>
      </c>
      <c r="G203" s="262"/>
      <c r="H203" s="262"/>
      <c r="I203" s="262">
        <v>60000</v>
      </c>
      <c r="J203" s="262"/>
      <c r="K203" s="262"/>
      <c r="L203" s="262"/>
      <c r="M203" s="262"/>
      <c r="N203" s="262"/>
      <c r="O203" s="262"/>
      <c r="P203" s="263">
        <f t="shared" si="41"/>
        <v>250000</v>
      </c>
    </row>
    <row r="204" spans="1:16" ht="288" hidden="1">
      <c r="A204" s="71"/>
      <c r="B204" s="71"/>
      <c r="C204" s="71"/>
      <c r="D204" s="50" t="s">
        <v>146</v>
      </c>
      <c r="E204" s="262">
        <f t="shared" si="42"/>
        <v>150000</v>
      </c>
      <c r="F204" s="262">
        <v>150000</v>
      </c>
      <c r="G204" s="262"/>
      <c r="H204" s="262"/>
      <c r="I204" s="262"/>
      <c r="J204" s="262"/>
      <c r="K204" s="262"/>
      <c r="L204" s="262"/>
      <c r="M204" s="262"/>
      <c r="N204" s="262"/>
      <c r="O204" s="262"/>
      <c r="P204" s="263">
        <f t="shared" si="41"/>
        <v>150000</v>
      </c>
    </row>
    <row r="205" spans="1:16" ht="125.25" customHeight="1" hidden="1">
      <c r="A205" s="71"/>
      <c r="B205" s="71"/>
      <c r="C205" s="71"/>
      <c r="D205" s="50" t="s">
        <v>147</v>
      </c>
      <c r="E205" s="262">
        <f t="shared" si="42"/>
        <v>100000</v>
      </c>
      <c r="F205" s="262">
        <v>100000</v>
      </c>
      <c r="G205" s="262"/>
      <c r="H205" s="262"/>
      <c r="I205" s="262"/>
      <c r="J205" s="262"/>
      <c r="K205" s="262"/>
      <c r="L205" s="262"/>
      <c r="M205" s="262"/>
      <c r="N205" s="262"/>
      <c r="O205" s="262"/>
      <c r="P205" s="263">
        <f t="shared" si="41"/>
        <v>100000</v>
      </c>
    </row>
    <row r="206" spans="1:16" ht="175.5" customHeight="1" hidden="1">
      <c r="A206" s="71"/>
      <c r="B206" s="71"/>
      <c r="C206" s="71"/>
      <c r="D206" s="51" t="s">
        <v>148</v>
      </c>
      <c r="E206" s="262">
        <f t="shared" si="42"/>
        <v>69650</v>
      </c>
      <c r="F206" s="262">
        <v>69650</v>
      </c>
      <c r="G206" s="262"/>
      <c r="H206" s="262"/>
      <c r="I206" s="262"/>
      <c r="J206" s="262"/>
      <c r="K206" s="262"/>
      <c r="L206" s="262"/>
      <c r="M206" s="262"/>
      <c r="N206" s="262"/>
      <c r="O206" s="262"/>
      <c r="P206" s="263">
        <f t="shared" si="41"/>
        <v>69650</v>
      </c>
    </row>
    <row r="207" spans="1:16" ht="96" hidden="1">
      <c r="A207" s="71"/>
      <c r="B207" s="71"/>
      <c r="C207" s="71"/>
      <c r="D207" s="50" t="s">
        <v>149</v>
      </c>
      <c r="E207" s="262">
        <f t="shared" si="42"/>
        <v>48500</v>
      </c>
      <c r="F207" s="262">
        <v>48500</v>
      </c>
      <c r="G207" s="262"/>
      <c r="H207" s="262"/>
      <c r="I207" s="262"/>
      <c r="J207" s="262"/>
      <c r="K207" s="262"/>
      <c r="L207" s="262"/>
      <c r="M207" s="262"/>
      <c r="N207" s="262"/>
      <c r="O207" s="262"/>
      <c r="P207" s="263">
        <f t="shared" si="41"/>
        <v>48500</v>
      </c>
    </row>
    <row r="208" spans="1:16" ht="192" hidden="1">
      <c r="A208" s="70"/>
      <c r="B208" s="70"/>
      <c r="C208" s="70"/>
      <c r="D208" s="51" t="s">
        <v>182</v>
      </c>
      <c r="E208" s="279">
        <f t="shared" si="42"/>
        <v>60000</v>
      </c>
      <c r="F208" s="279">
        <v>15000</v>
      </c>
      <c r="G208" s="279"/>
      <c r="H208" s="279"/>
      <c r="I208" s="279">
        <f>30000+15000</f>
        <v>45000</v>
      </c>
      <c r="J208" s="262"/>
      <c r="K208" s="262"/>
      <c r="L208" s="262"/>
      <c r="M208" s="262"/>
      <c r="N208" s="262"/>
      <c r="O208" s="262"/>
      <c r="P208" s="263">
        <f t="shared" si="41"/>
        <v>60000</v>
      </c>
    </row>
    <row r="209" spans="1:16" ht="87.75" customHeight="1" hidden="1">
      <c r="A209" s="71"/>
      <c r="B209" s="71"/>
      <c r="C209" s="71"/>
      <c r="D209" s="51" t="s">
        <v>181</v>
      </c>
      <c r="E209" s="279">
        <f>F209</f>
        <v>200000</v>
      </c>
      <c r="F209" s="279">
        <v>200000</v>
      </c>
      <c r="G209" s="279"/>
      <c r="H209" s="279"/>
      <c r="I209" s="279"/>
      <c r="J209" s="262"/>
      <c r="K209" s="262"/>
      <c r="L209" s="262"/>
      <c r="M209" s="262"/>
      <c r="N209" s="262"/>
      <c r="O209" s="262"/>
      <c r="P209" s="263">
        <f t="shared" si="41"/>
        <v>200000</v>
      </c>
    </row>
    <row r="210" spans="1:16" ht="29.25">
      <c r="A210" s="81" t="s">
        <v>643</v>
      </c>
      <c r="B210" s="81" t="s">
        <v>643</v>
      </c>
      <c r="C210" s="81" t="s">
        <v>643</v>
      </c>
      <c r="D210" s="82" t="s">
        <v>642</v>
      </c>
      <c r="E210" s="273">
        <f aca="true" t="shared" si="43" ref="E210:O210">E21+E75+E108+E133+E145+E160+E166+E169+E175+E189+E192</f>
        <v>509618049</v>
      </c>
      <c r="F210" s="273">
        <f t="shared" si="43"/>
        <v>509212622</v>
      </c>
      <c r="G210" s="273">
        <f t="shared" si="43"/>
        <v>320636925</v>
      </c>
      <c r="H210" s="273">
        <f t="shared" si="43"/>
        <v>32397508</v>
      </c>
      <c r="I210" s="273">
        <f t="shared" si="43"/>
        <v>405000</v>
      </c>
      <c r="J210" s="310">
        <f t="shared" si="43"/>
        <v>67429836.61</v>
      </c>
      <c r="K210" s="310">
        <f t="shared" si="43"/>
        <v>57100867.61</v>
      </c>
      <c r="L210" s="273">
        <f t="shared" si="43"/>
        <v>10048969</v>
      </c>
      <c r="M210" s="273">
        <f t="shared" si="43"/>
        <v>2306953</v>
      </c>
      <c r="N210" s="273">
        <f t="shared" si="43"/>
        <v>73626</v>
      </c>
      <c r="O210" s="310">
        <f t="shared" si="43"/>
        <v>57380867.61</v>
      </c>
      <c r="P210" s="312">
        <f>E210+J210</f>
        <v>577047885.61</v>
      </c>
    </row>
    <row r="211" spans="1:16" ht="24">
      <c r="A211" s="41"/>
      <c r="B211" s="41"/>
      <c r="C211" s="41"/>
      <c r="D211" s="42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4"/>
    </row>
    <row r="212" spans="1:16" ht="24">
      <c r="A212" s="41"/>
      <c r="B212" s="41"/>
      <c r="C212" s="41"/>
      <c r="D212" s="42"/>
      <c r="E212" s="43"/>
      <c r="F212" s="89"/>
      <c r="G212" s="43"/>
      <c r="H212" s="43"/>
      <c r="I212" s="43"/>
      <c r="J212" s="43"/>
      <c r="K212" s="43"/>
      <c r="L212" s="43"/>
      <c r="M212" s="43"/>
      <c r="N212" s="43"/>
      <c r="O212" s="43"/>
      <c r="P212" s="44"/>
    </row>
    <row r="213" spans="4:16" ht="23.25">
      <c r="D213" s="17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2:16" ht="23.25">
      <c r="B214" s="17"/>
      <c r="C214" s="10"/>
      <c r="D214" s="37"/>
      <c r="E214" s="17"/>
      <c r="F214" s="90"/>
      <c r="G214" s="37"/>
      <c r="H214" s="37"/>
      <c r="I214" s="37"/>
      <c r="J214" s="17"/>
      <c r="K214" s="90"/>
      <c r="L214" s="17"/>
      <c r="M214" s="37"/>
      <c r="O214" s="37"/>
      <c r="P214" s="37"/>
    </row>
    <row r="215" spans="3:16" ht="23.25" hidden="1">
      <c r="C215" s="350" t="s">
        <v>621</v>
      </c>
      <c r="D215" s="350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3:16" ht="23.25" hidden="1">
      <c r="C216" s="29" t="s">
        <v>622</v>
      </c>
      <c r="D216" s="14"/>
      <c r="E216" s="34">
        <f>E23+E27+E77+E110+E135+E147+E162+E168+E171+E177+E191+E194</f>
        <v>55706601</v>
      </c>
      <c r="F216" s="34"/>
      <c r="G216" s="34">
        <f aca="true" t="shared" si="44" ref="G216:P216">G23+G27+G77+G110+G135+G147+G162+G168+G171+G177+G191+G194</f>
        <v>50523934</v>
      </c>
      <c r="H216" s="34">
        <f t="shared" si="44"/>
        <v>1911170</v>
      </c>
      <c r="I216" s="34">
        <f t="shared" si="44"/>
        <v>0</v>
      </c>
      <c r="J216" s="34">
        <f t="shared" si="44"/>
        <v>394683</v>
      </c>
      <c r="K216" s="34">
        <f t="shared" si="44"/>
        <v>243410</v>
      </c>
      <c r="L216" s="34">
        <f t="shared" si="44"/>
        <v>151273</v>
      </c>
      <c r="M216" s="34">
        <f t="shared" si="44"/>
        <v>18300</v>
      </c>
      <c r="N216" s="34">
        <f t="shared" si="44"/>
        <v>12590</v>
      </c>
      <c r="O216" s="34">
        <f t="shared" si="44"/>
        <v>243410</v>
      </c>
      <c r="P216" s="34">
        <f t="shared" si="44"/>
        <v>56101284</v>
      </c>
    </row>
    <row r="217" spans="3:16" ht="23.25" hidden="1">
      <c r="C217" s="30">
        <v>1000</v>
      </c>
      <c r="D217" s="14"/>
      <c r="E217" s="34">
        <f>E78+E79+E91+E92+E93+E94+E97+E136</f>
        <v>288658418</v>
      </c>
      <c r="F217" s="34"/>
      <c r="G217" s="34">
        <f>G78+G79+G91+G92+G93+G94+G97+G136</f>
        <v>241692536</v>
      </c>
      <c r="H217" s="34">
        <f>H78+H79+H91+H92+H93+H94+H97+H136</f>
        <v>26862745</v>
      </c>
      <c r="I217" s="34">
        <f aca="true" t="shared" si="45" ref="I217:P217">I78+I79+I91+I92+I93+I94+I95+I136</f>
        <v>0</v>
      </c>
      <c r="J217" s="34">
        <f t="shared" si="45"/>
        <v>10447480</v>
      </c>
      <c r="K217" s="34">
        <f t="shared" si="45"/>
        <v>1437802</v>
      </c>
      <c r="L217" s="34">
        <f t="shared" si="45"/>
        <v>9009678</v>
      </c>
      <c r="M217" s="34">
        <f t="shared" si="45"/>
        <v>2270353</v>
      </c>
      <c r="N217" s="34">
        <f t="shared" si="45"/>
        <v>41558</v>
      </c>
      <c r="O217" s="34">
        <f t="shared" si="45"/>
        <v>1437802</v>
      </c>
      <c r="P217" s="34">
        <f t="shared" si="45"/>
        <v>299987962</v>
      </c>
    </row>
    <row r="218" spans="3:16" ht="23.25" hidden="1">
      <c r="C218" s="30">
        <v>2000</v>
      </c>
      <c r="D218" s="14"/>
      <c r="E218" s="34">
        <f>E30+E38+E40</f>
        <v>38991494</v>
      </c>
      <c r="F218" s="34"/>
      <c r="G218" s="34">
        <f aca="true" t="shared" si="46" ref="G218:P218">G30+G38+G40</f>
        <v>0</v>
      </c>
      <c r="H218" s="34">
        <f t="shared" si="46"/>
        <v>0</v>
      </c>
      <c r="I218" s="34">
        <f t="shared" si="46"/>
        <v>0</v>
      </c>
      <c r="J218" s="34">
        <f t="shared" si="46"/>
        <v>10559050</v>
      </c>
      <c r="K218" s="34">
        <f t="shared" si="46"/>
        <v>10559050</v>
      </c>
      <c r="L218" s="34">
        <f t="shared" si="46"/>
        <v>0</v>
      </c>
      <c r="M218" s="34">
        <f t="shared" si="46"/>
        <v>0</v>
      </c>
      <c r="N218" s="34">
        <f t="shared" si="46"/>
        <v>0</v>
      </c>
      <c r="O218" s="34">
        <f t="shared" si="46"/>
        <v>10559050</v>
      </c>
      <c r="P218" s="34">
        <f t="shared" si="46"/>
        <v>49550544</v>
      </c>
    </row>
    <row r="219" spans="3:16" ht="23.25" hidden="1">
      <c r="C219" s="30">
        <v>3000</v>
      </c>
      <c r="D219" s="14"/>
      <c r="E219" s="34">
        <f>E46+E47+E49+E111+E112+E113+E114+E117+E118+E119+E120+E121+E122+E123+E124+E129+E148+E149</f>
        <v>13537736</v>
      </c>
      <c r="F219" s="34"/>
      <c r="G219" s="34">
        <f aca="true" t="shared" si="47" ref="G219:P219">G46+G47+G49+G111+G112+G113+G114+G117+G118+G119+G120+G121+G122+G123+G124+G129+G148+G149</f>
        <v>6686856</v>
      </c>
      <c r="H219" s="34">
        <f t="shared" si="47"/>
        <v>467444</v>
      </c>
      <c r="I219" s="34">
        <f t="shared" si="47"/>
        <v>0</v>
      </c>
      <c r="J219" s="34">
        <f t="shared" si="47"/>
        <v>59400</v>
      </c>
      <c r="K219" s="34">
        <f t="shared" si="47"/>
        <v>0</v>
      </c>
      <c r="L219" s="34">
        <f t="shared" si="47"/>
        <v>59400</v>
      </c>
      <c r="M219" s="34">
        <f t="shared" si="47"/>
        <v>0</v>
      </c>
      <c r="N219" s="34">
        <f t="shared" si="47"/>
        <v>6588</v>
      </c>
      <c r="O219" s="34">
        <f t="shared" si="47"/>
        <v>0</v>
      </c>
      <c r="P219" s="34">
        <f t="shared" si="47"/>
        <v>13597136</v>
      </c>
    </row>
    <row r="220" spans="3:16" ht="23.25" hidden="1">
      <c r="C220" s="30">
        <v>4000</v>
      </c>
      <c r="D220" s="14"/>
      <c r="E220" s="34">
        <f aca="true" t="shared" si="48" ref="E220:P220">E137+E138+E139+E140+E141</f>
        <v>17407983</v>
      </c>
      <c r="F220" s="34"/>
      <c r="G220" s="34">
        <f t="shared" si="48"/>
        <v>13364535</v>
      </c>
      <c r="H220" s="34">
        <f t="shared" si="48"/>
        <v>1916360</v>
      </c>
      <c r="I220" s="34">
        <f t="shared" si="48"/>
        <v>0</v>
      </c>
      <c r="J220" s="34">
        <f t="shared" si="48"/>
        <v>1089860</v>
      </c>
      <c r="K220" s="34">
        <f t="shared" si="48"/>
        <v>907200</v>
      </c>
      <c r="L220" s="34">
        <f t="shared" si="48"/>
        <v>182660</v>
      </c>
      <c r="M220" s="34">
        <f t="shared" si="48"/>
        <v>18300</v>
      </c>
      <c r="N220" s="34">
        <f t="shared" si="48"/>
        <v>12890</v>
      </c>
      <c r="O220" s="34">
        <f t="shared" si="48"/>
        <v>907200</v>
      </c>
      <c r="P220" s="34">
        <f t="shared" si="48"/>
        <v>18497843</v>
      </c>
    </row>
    <row r="221" spans="3:16" ht="23.25" hidden="1">
      <c r="C221" s="30">
        <v>5000</v>
      </c>
      <c r="D221" s="14"/>
      <c r="E221" s="34">
        <f>E102+E151+E152+E153+E154+E155</f>
        <v>12638408</v>
      </c>
      <c r="F221" s="34"/>
      <c r="G221" s="34">
        <f aca="true" t="shared" si="49" ref="G221:P221">G102+G151+G152+G153+G154+G155</f>
        <v>5468452</v>
      </c>
      <c r="H221" s="34">
        <f t="shared" si="49"/>
        <v>413843</v>
      </c>
      <c r="I221" s="34">
        <f t="shared" si="49"/>
        <v>0</v>
      </c>
      <c r="J221" s="34">
        <f t="shared" si="49"/>
        <v>10000</v>
      </c>
      <c r="K221" s="34">
        <f t="shared" si="49"/>
        <v>10000</v>
      </c>
      <c r="L221" s="34">
        <f t="shared" si="49"/>
        <v>0</v>
      </c>
      <c r="M221" s="34">
        <f t="shared" si="49"/>
        <v>0</v>
      </c>
      <c r="N221" s="34">
        <f t="shared" si="49"/>
        <v>0</v>
      </c>
      <c r="O221" s="34">
        <f t="shared" si="49"/>
        <v>10000</v>
      </c>
      <c r="P221" s="34">
        <f t="shared" si="49"/>
        <v>12648408</v>
      </c>
    </row>
    <row r="222" spans="3:16" ht="23.25" hidden="1">
      <c r="C222" s="30">
        <v>6000</v>
      </c>
      <c r="D222" s="14"/>
      <c r="E222" s="34">
        <f>E50+E52+E51+E53+E54+E55+E57+E179+E180+E181+E182</f>
        <v>46190403</v>
      </c>
      <c r="F222" s="34"/>
      <c r="G222" s="34">
        <f aca="true" t="shared" si="50" ref="G222:P222">G50+G52+G51+G53+G54+G55+G57+G179+G180+G181+G182</f>
        <v>0</v>
      </c>
      <c r="H222" s="34">
        <f t="shared" si="50"/>
        <v>638452</v>
      </c>
      <c r="I222" s="34">
        <f t="shared" si="50"/>
        <v>0</v>
      </c>
      <c r="J222" s="34">
        <f t="shared" si="50"/>
        <v>794238</v>
      </c>
      <c r="K222" s="34">
        <f t="shared" si="50"/>
        <v>794238</v>
      </c>
      <c r="L222" s="34">
        <f t="shared" si="50"/>
        <v>0</v>
      </c>
      <c r="M222" s="34">
        <f t="shared" si="50"/>
        <v>0</v>
      </c>
      <c r="N222" s="34">
        <f t="shared" si="50"/>
        <v>0</v>
      </c>
      <c r="O222" s="34">
        <f t="shared" si="50"/>
        <v>794238</v>
      </c>
      <c r="P222" s="34">
        <f t="shared" si="50"/>
        <v>46984641</v>
      </c>
    </row>
    <row r="223" spans="3:16" ht="23.25" hidden="1">
      <c r="C223" s="30">
        <v>7000</v>
      </c>
      <c r="D223" s="14"/>
      <c r="E223" s="34">
        <f>E58+E63+E67+E68+E69+E70+E104+E132+E144+E159+E172+E183+E184+E185+E186+E187+E188+E165</f>
        <v>15870415</v>
      </c>
      <c r="F223" s="34"/>
      <c r="G223" s="34">
        <f aca="true" t="shared" si="51" ref="G223:P223">G58+G63+G67+G68+G69+G70+G104+G132+G144+G159+G172+G183+G184+G185+G186+G187+G188+G165</f>
        <v>358554</v>
      </c>
      <c r="H223" s="34">
        <f t="shared" si="51"/>
        <v>182079</v>
      </c>
      <c r="I223" s="34">
        <f t="shared" si="51"/>
        <v>0</v>
      </c>
      <c r="J223" s="34">
        <f t="shared" si="51"/>
        <v>18998460</v>
      </c>
      <c r="K223" s="34">
        <f t="shared" si="51"/>
        <v>18998460</v>
      </c>
      <c r="L223" s="34">
        <f t="shared" si="51"/>
        <v>0</v>
      </c>
      <c r="M223" s="34">
        <f t="shared" si="51"/>
        <v>0</v>
      </c>
      <c r="N223" s="34">
        <f t="shared" si="51"/>
        <v>0</v>
      </c>
      <c r="O223" s="34">
        <f t="shared" si="51"/>
        <v>18998460</v>
      </c>
      <c r="P223" s="34">
        <f t="shared" si="51"/>
        <v>34868875</v>
      </c>
    </row>
    <row r="224" spans="3:16" ht="23.25" hidden="1">
      <c r="C224" s="30">
        <v>8000</v>
      </c>
      <c r="D224" s="14"/>
      <c r="E224" s="34">
        <f>E71+E72+E73+E74+E174+E195</f>
        <v>6134660</v>
      </c>
      <c r="F224" s="34"/>
      <c r="G224" s="34">
        <f aca="true" t="shared" si="52" ref="G224:P224">G71+G72+G73+G74+G174+G195</f>
        <v>0</v>
      </c>
      <c r="H224" s="34">
        <f t="shared" si="52"/>
        <v>0</v>
      </c>
      <c r="I224" s="34">
        <f t="shared" si="52"/>
        <v>0</v>
      </c>
      <c r="J224" s="34">
        <f t="shared" si="52"/>
        <v>1010453</v>
      </c>
      <c r="K224" s="34">
        <f t="shared" si="52"/>
        <v>84495</v>
      </c>
      <c r="L224" s="34">
        <f t="shared" si="52"/>
        <v>645958</v>
      </c>
      <c r="M224" s="34">
        <f t="shared" si="52"/>
        <v>0</v>
      </c>
      <c r="N224" s="34">
        <f t="shared" si="52"/>
        <v>0</v>
      </c>
      <c r="O224" s="34">
        <f t="shared" si="52"/>
        <v>364495</v>
      </c>
      <c r="P224" s="34">
        <f t="shared" si="52"/>
        <v>7145113</v>
      </c>
    </row>
    <row r="225" spans="3:16" ht="20.25" hidden="1">
      <c r="C225" s="30">
        <v>9000</v>
      </c>
      <c r="D225" s="14" t="s">
        <v>620</v>
      </c>
      <c r="E225" s="35">
        <v>11080290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>
        <v>11080290</v>
      </c>
    </row>
    <row r="226" spans="3:16" ht="23.25" hidden="1">
      <c r="C226" s="14" t="s">
        <v>636</v>
      </c>
      <c r="D226" s="14"/>
      <c r="E226" s="34">
        <f>SUM(E215:E225)</f>
        <v>506216408</v>
      </c>
      <c r="F226" s="34"/>
      <c r="G226" s="34">
        <f aca="true" t="shared" si="53" ref="G226:P226">SUM(G215:G225)</f>
        <v>318094867</v>
      </c>
      <c r="H226" s="34">
        <f t="shared" si="53"/>
        <v>32392093</v>
      </c>
      <c r="I226" s="34">
        <f t="shared" si="53"/>
        <v>0</v>
      </c>
      <c r="J226" s="34">
        <f t="shared" si="53"/>
        <v>43363624</v>
      </c>
      <c r="K226" s="34">
        <f t="shared" si="53"/>
        <v>33034655</v>
      </c>
      <c r="L226" s="34">
        <f t="shared" si="53"/>
        <v>10048969</v>
      </c>
      <c r="M226" s="34">
        <f t="shared" si="53"/>
        <v>2306953</v>
      </c>
      <c r="N226" s="34">
        <f t="shared" si="53"/>
        <v>73626</v>
      </c>
      <c r="O226" s="34">
        <f t="shared" si="53"/>
        <v>33314655</v>
      </c>
      <c r="P226" s="34">
        <f t="shared" si="53"/>
        <v>550462096</v>
      </c>
    </row>
    <row r="227" ht="23.25" hidden="1"/>
    <row r="228" spans="5:16" ht="23.25" hidden="1">
      <c r="E228" s="10" t="e">
        <f>E210-E226-#REF!</f>
        <v>#REF!</v>
      </c>
      <c r="G228" s="10" t="e">
        <f>G210-G226-#REF!</f>
        <v>#REF!</v>
      </c>
      <c r="H228" s="10" t="e">
        <f>H210-H226-#REF!</f>
        <v>#REF!</v>
      </c>
      <c r="I228" s="10" t="e">
        <f>I210-I226-#REF!</f>
        <v>#REF!</v>
      </c>
      <c r="J228" s="10" t="e">
        <f>J210-J226-#REF!</f>
        <v>#REF!</v>
      </c>
      <c r="K228" s="10" t="e">
        <f>K210-K226-#REF!</f>
        <v>#REF!</v>
      </c>
      <c r="L228" s="10" t="e">
        <f>L210-L226-#REF!</f>
        <v>#REF!</v>
      </c>
      <c r="M228" s="10" t="e">
        <f>M210-M226-#REF!</f>
        <v>#REF!</v>
      </c>
      <c r="N228" s="10" t="e">
        <f>N210-N226-#REF!</f>
        <v>#REF!</v>
      </c>
      <c r="O228" s="10" t="e">
        <f>O210-O226-#REF!</f>
        <v>#REF!</v>
      </c>
      <c r="P228" s="10" t="e">
        <f>P210-P226-#REF!</f>
        <v>#REF!</v>
      </c>
    </row>
    <row r="229" ht="23.25" hidden="1"/>
    <row r="230" ht="23.25" hidden="1"/>
    <row r="231" ht="23.25" hidden="1"/>
    <row r="235" ht="23.25">
      <c r="K235" s="244"/>
    </row>
  </sheetData>
  <sheetProtection/>
  <mergeCells count="19">
    <mergeCell ref="C215:D215"/>
    <mergeCell ref="D16:D19"/>
    <mergeCell ref="A12:P12"/>
    <mergeCell ref="K18:K19"/>
    <mergeCell ref="L18:L19"/>
    <mergeCell ref="O18:O19"/>
    <mergeCell ref="J16:O17"/>
    <mergeCell ref="C16:C19"/>
    <mergeCell ref="F18:F19"/>
    <mergeCell ref="A2:A8"/>
    <mergeCell ref="A16:A19"/>
    <mergeCell ref="B16:B19"/>
    <mergeCell ref="P16:P19"/>
    <mergeCell ref="G18:H18"/>
    <mergeCell ref="I18:I19"/>
    <mergeCell ref="E18:E19"/>
    <mergeCell ref="J18:J19"/>
    <mergeCell ref="E16:I17"/>
    <mergeCell ref="M18:N18"/>
  </mergeCells>
  <printOptions/>
  <pageMargins left="0.5511811023622047" right="0" top="0.5905511811023623" bottom="0.5905511811023623" header="0.5118110236220472" footer="0.5118110236220472"/>
  <pageSetup fitToHeight="16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22">
      <selection activeCell="C29" sqref="C29"/>
    </sheetView>
  </sheetViews>
  <sheetFormatPr defaultColWidth="9.00390625" defaultRowHeight="12.75"/>
  <cols>
    <col min="1" max="1" width="15.00390625" style="0" bestFit="1" customWidth="1"/>
    <col min="2" max="2" width="13.375" style="0" customWidth="1"/>
    <col min="3" max="3" width="14.375" style="0" customWidth="1"/>
    <col min="4" max="4" width="36.125" style="0" customWidth="1"/>
    <col min="5" max="5" width="10.25390625" style="0" customWidth="1"/>
    <col min="6" max="8" width="22.00390625" style="0" bestFit="1" customWidth="1"/>
    <col min="9" max="9" width="10.375" style="0" customWidth="1"/>
    <col min="10" max="10" width="22.00390625" style="0" bestFit="1" customWidth="1"/>
    <col min="11" max="11" width="21.875" style="0" bestFit="1" customWidth="1"/>
    <col min="12" max="12" width="20.375" style="0" bestFit="1" customWidth="1"/>
    <col min="13" max="13" width="10.75390625" style="0" customWidth="1"/>
    <col min="14" max="14" width="20.375" style="0" bestFit="1" customWidth="1"/>
    <col min="15" max="16" width="21.875" style="0" bestFit="1" customWidth="1"/>
  </cols>
  <sheetData>
    <row r="1" spans="14:15" ht="18.75">
      <c r="N1" s="27"/>
      <c r="O1" s="8"/>
    </row>
    <row r="2" spans="14:15" ht="18.75">
      <c r="N2" s="27" t="s">
        <v>332</v>
      </c>
      <c r="O2" s="8"/>
    </row>
    <row r="3" spans="14:15" ht="18.75">
      <c r="N3" s="27" t="s">
        <v>119</v>
      </c>
      <c r="O3" s="8"/>
    </row>
    <row r="4" spans="14:15" ht="18.75">
      <c r="N4" s="27" t="s">
        <v>340</v>
      </c>
      <c r="O4" s="8"/>
    </row>
    <row r="5" spans="14:15" ht="18.75">
      <c r="N5" s="27" t="s">
        <v>371</v>
      </c>
      <c r="O5" s="8"/>
    </row>
    <row r="6" spans="1:16" ht="18.75">
      <c r="A6" s="204"/>
      <c r="B6" s="204"/>
      <c r="I6" s="227"/>
      <c r="J6" s="2"/>
      <c r="K6" s="2"/>
      <c r="L6" s="2"/>
      <c r="M6" s="2"/>
      <c r="N6" s="40" t="s">
        <v>333</v>
      </c>
      <c r="O6" s="92"/>
      <c r="P6" s="2"/>
    </row>
    <row r="7" spans="14:15" ht="18.75">
      <c r="N7" s="27" t="s">
        <v>338</v>
      </c>
      <c r="O7" s="8"/>
    </row>
    <row r="8" spans="14:15" ht="18.75">
      <c r="N8" s="27" t="s">
        <v>335</v>
      </c>
      <c r="O8" s="8"/>
    </row>
    <row r="11" spans="1:16" ht="23.25" customHeight="1">
      <c r="A11" s="353" t="s">
        <v>511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</row>
    <row r="12" spans="1:16" ht="15.75">
      <c r="A12" s="91">
        <v>21528000000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ht="12.75">
      <c r="A13" s="1" t="s">
        <v>644</v>
      </c>
    </row>
    <row r="14" spans="1:16" ht="21.75" customHeigh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</row>
    <row r="15" ht="16.5" customHeight="1">
      <c r="P15" s="6" t="s">
        <v>624</v>
      </c>
    </row>
    <row r="16" spans="1:16" ht="34.5" customHeight="1">
      <c r="A16" s="352" t="s">
        <v>646</v>
      </c>
      <c r="B16" s="352" t="s">
        <v>647</v>
      </c>
      <c r="C16" s="352" t="s">
        <v>635</v>
      </c>
      <c r="D16" s="352" t="s">
        <v>648</v>
      </c>
      <c r="E16" s="352" t="s">
        <v>512</v>
      </c>
      <c r="F16" s="352"/>
      <c r="G16" s="352"/>
      <c r="H16" s="352"/>
      <c r="I16" s="352" t="s">
        <v>513</v>
      </c>
      <c r="J16" s="352"/>
      <c r="K16" s="352"/>
      <c r="L16" s="352"/>
      <c r="M16" s="352" t="s">
        <v>514</v>
      </c>
      <c r="N16" s="352"/>
      <c r="O16" s="352"/>
      <c r="P16" s="352"/>
    </row>
    <row r="17" spans="1:16" ht="12.75">
      <c r="A17" s="352"/>
      <c r="B17" s="352"/>
      <c r="C17" s="352"/>
      <c r="D17" s="352"/>
      <c r="E17" s="352" t="s">
        <v>515</v>
      </c>
      <c r="F17" s="352" t="s">
        <v>516</v>
      </c>
      <c r="G17" s="352"/>
      <c r="H17" s="352" t="s">
        <v>517</v>
      </c>
      <c r="I17" s="352" t="s">
        <v>515</v>
      </c>
      <c r="J17" s="352" t="s">
        <v>516</v>
      </c>
      <c r="K17" s="352"/>
      <c r="L17" s="352" t="s">
        <v>517</v>
      </c>
      <c r="M17" s="352" t="s">
        <v>515</v>
      </c>
      <c r="N17" s="352" t="s">
        <v>516</v>
      </c>
      <c r="O17" s="352"/>
      <c r="P17" s="352" t="s">
        <v>517</v>
      </c>
    </row>
    <row r="18" spans="1:16" ht="42" customHeight="1">
      <c r="A18" s="352"/>
      <c r="B18" s="352"/>
      <c r="C18" s="352"/>
      <c r="D18" s="352"/>
      <c r="E18" s="352"/>
      <c r="F18" s="151" t="s">
        <v>629</v>
      </c>
      <c r="G18" s="151" t="s">
        <v>630</v>
      </c>
      <c r="H18" s="352"/>
      <c r="I18" s="352"/>
      <c r="J18" s="151" t="s">
        <v>629</v>
      </c>
      <c r="K18" s="151" t="s">
        <v>630</v>
      </c>
      <c r="L18" s="352"/>
      <c r="M18" s="352"/>
      <c r="N18" s="151" t="s">
        <v>629</v>
      </c>
      <c r="O18" s="151" t="s">
        <v>630</v>
      </c>
      <c r="P18" s="352"/>
    </row>
    <row r="19" spans="1:16" ht="12.75">
      <c r="A19" s="151">
        <v>1</v>
      </c>
      <c r="B19" s="151">
        <v>2</v>
      </c>
      <c r="C19" s="151">
        <v>3</v>
      </c>
      <c r="D19" s="151">
        <v>4</v>
      </c>
      <c r="E19" s="151">
        <v>5</v>
      </c>
      <c r="F19" s="151">
        <v>6</v>
      </c>
      <c r="G19" s="151">
        <v>7</v>
      </c>
      <c r="H19" s="151">
        <v>8</v>
      </c>
      <c r="I19" s="151">
        <v>9</v>
      </c>
      <c r="J19" s="151">
        <v>10</v>
      </c>
      <c r="K19" s="151">
        <v>11</v>
      </c>
      <c r="L19" s="151">
        <v>12</v>
      </c>
      <c r="M19" s="151">
        <v>13</v>
      </c>
      <c r="N19" s="151">
        <v>14</v>
      </c>
      <c r="O19" s="151">
        <v>15</v>
      </c>
      <c r="P19" s="151">
        <v>16</v>
      </c>
    </row>
    <row r="20" spans="1:16" ht="57.75" customHeight="1">
      <c r="A20" s="135">
        <v>3700000</v>
      </c>
      <c r="B20" s="135"/>
      <c r="C20" s="228"/>
      <c r="D20" s="229" t="s">
        <v>53</v>
      </c>
      <c r="E20" s="230"/>
      <c r="F20" s="231">
        <f>F22</f>
        <v>5044987</v>
      </c>
      <c r="G20" s="231">
        <f>G22</f>
        <v>5044987</v>
      </c>
      <c r="H20" s="231">
        <f>H22</f>
        <v>5044987</v>
      </c>
      <c r="I20" s="232"/>
      <c r="J20" s="231">
        <f>J23</f>
        <v>-1538406</v>
      </c>
      <c r="K20" s="231">
        <f>K23</f>
        <v>-1538406</v>
      </c>
      <c r="L20" s="231">
        <f>J20+I20</f>
        <v>-1538406</v>
      </c>
      <c r="M20" s="232"/>
      <c r="N20" s="231">
        <f>O20</f>
        <v>3506581</v>
      </c>
      <c r="O20" s="231">
        <f>O22+O23</f>
        <v>3506581</v>
      </c>
      <c r="P20" s="231">
        <f>M20+N20</f>
        <v>3506581</v>
      </c>
    </row>
    <row r="21" spans="1:16" ht="54.75" customHeight="1">
      <c r="A21" s="135">
        <v>3710000</v>
      </c>
      <c r="B21" s="135"/>
      <c r="C21" s="228"/>
      <c r="D21" s="229" t="s">
        <v>53</v>
      </c>
      <c r="E21" s="230"/>
      <c r="F21" s="231">
        <f>G21</f>
        <v>5044987</v>
      </c>
      <c r="G21" s="231">
        <f>G22</f>
        <v>5044987</v>
      </c>
      <c r="H21" s="231">
        <f>E21+F21</f>
        <v>5044987</v>
      </c>
      <c r="I21" s="232"/>
      <c r="J21" s="231">
        <f>K21</f>
        <v>-1538406</v>
      </c>
      <c r="K21" s="231">
        <f>K23</f>
        <v>-1538406</v>
      </c>
      <c r="L21" s="231">
        <f>I21+J21</f>
        <v>-1538406</v>
      </c>
      <c r="M21" s="232"/>
      <c r="N21" s="231">
        <f>O21</f>
        <v>3506581</v>
      </c>
      <c r="O21" s="231">
        <f>O22+O23</f>
        <v>3506581</v>
      </c>
      <c r="P21" s="231">
        <f>N21+M21</f>
        <v>3506581</v>
      </c>
    </row>
    <row r="22" spans="1:16" ht="93.75">
      <c r="A22" s="134">
        <v>3718881</v>
      </c>
      <c r="B22" s="134">
        <v>8881</v>
      </c>
      <c r="C22" s="233" t="s">
        <v>719</v>
      </c>
      <c r="D22" s="128" t="s">
        <v>269</v>
      </c>
      <c r="E22" s="230"/>
      <c r="F22" s="232">
        <f>G22</f>
        <v>5044987</v>
      </c>
      <c r="G22" s="232">
        <f>4629062+415925</f>
        <v>5044987</v>
      </c>
      <c r="H22" s="232">
        <f>E22+F22</f>
        <v>5044987</v>
      </c>
      <c r="I22" s="232"/>
      <c r="J22" s="232"/>
      <c r="K22" s="232"/>
      <c r="L22" s="232"/>
      <c r="M22" s="232"/>
      <c r="N22" s="232">
        <f>O22</f>
        <v>5044987</v>
      </c>
      <c r="O22" s="232">
        <f>K22+G22</f>
        <v>5044987</v>
      </c>
      <c r="P22" s="232">
        <f>M22+N22</f>
        <v>5044987</v>
      </c>
    </row>
    <row r="23" spans="1:16" ht="93.75">
      <c r="A23" s="134">
        <v>3718882</v>
      </c>
      <c r="B23" s="134">
        <v>8882</v>
      </c>
      <c r="C23" s="233" t="s">
        <v>719</v>
      </c>
      <c r="D23" s="234" t="s">
        <v>518</v>
      </c>
      <c r="E23" s="230"/>
      <c r="F23" s="235"/>
      <c r="G23" s="235"/>
      <c r="H23" s="235"/>
      <c r="I23" s="235"/>
      <c r="J23" s="232">
        <f>K23</f>
        <v>-1538406</v>
      </c>
      <c r="K23" s="232">
        <v>-1538406</v>
      </c>
      <c r="L23" s="232">
        <f>I23+J23</f>
        <v>-1538406</v>
      </c>
      <c r="M23" s="232">
        <f>I23+E23</f>
        <v>0</v>
      </c>
      <c r="N23" s="232">
        <f>O23</f>
        <v>-1538406</v>
      </c>
      <c r="O23" s="232">
        <f>K23+G23</f>
        <v>-1538406</v>
      </c>
      <c r="P23" s="232">
        <f>M23+N23</f>
        <v>-1538406</v>
      </c>
    </row>
    <row r="24" spans="1:16" ht="18.75">
      <c r="A24" s="230"/>
      <c r="B24" s="159" t="s">
        <v>184</v>
      </c>
      <c r="C24" s="159" t="s">
        <v>184</v>
      </c>
      <c r="D24" s="159" t="s">
        <v>642</v>
      </c>
      <c r="E24" s="230"/>
      <c r="F24" s="231">
        <f>F14+F20</f>
        <v>5044987</v>
      </c>
      <c r="G24" s="231">
        <f>G14+G20</f>
        <v>5044987</v>
      </c>
      <c r="H24" s="231">
        <f>F24+E24</f>
        <v>5044987</v>
      </c>
      <c r="I24" s="231"/>
      <c r="J24" s="231">
        <f>J14+J20</f>
        <v>-1538406</v>
      </c>
      <c r="K24" s="231">
        <f>K14+K20</f>
        <v>-1538406</v>
      </c>
      <c r="L24" s="231">
        <f>J24+I24</f>
        <v>-1538406</v>
      </c>
      <c r="M24" s="231"/>
      <c r="N24" s="231">
        <f>N14+N20</f>
        <v>3506581</v>
      </c>
      <c r="O24" s="231">
        <f>O14+O20</f>
        <v>3506581</v>
      </c>
      <c r="P24" s="231">
        <f>N24+M24</f>
        <v>3506581</v>
      </c>
    </row>
    <row r="25" ht="27.75" customHeight="1"/>
    <row r="26" ht="15.75" customHeight="1"/>
    <row r="27" ht="17.25" customHeight="1"/>
    <row r="28" spans="3:13" ht="18.75">
      <c r="C28" s="27"/>
      <c r="D28" s="27"/>
      <c r="E28" s="27"/>
      <c r="F28" s="28"/>
      <c r="G28" s="28"/>
      <c r="H28" s="28"/>
      <c r="I28" s="28"/>
      <c r="J28" s="28"/>
      <c r="K28" s="28"/>
      <c r="L28" s="27"/>
      <c r="M28" s="28"/>
    </row>
    <row r="29" spans="3:13" ht="18" customHeight="1"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</sheetData>
  <sheetProtection/>
  <mergeCells count="18">
    <mergeCell ref="A11:P11"/>
    <mergeCell ref="A14:P14"/>
    <mergeCell ref="A16:A18"/>
    <mergeCell ref="B16:B18"/>
    <mergeCell ref="C16:C18"/>
    <mergeCell ref="D16:D18"/>
    <mergeCell ref="E16:H16"/>
    <mergeCell ref="I16:L16"/>
    <mergeCell ref="M16:P16"/>
    <mergeCell ref="E17:E18"/>
    <mergeCell ref="N17:O17"/>
    <mergeCell ref="P17:P18"/>
    <mergeCell ref="F17:G17"/>
    <mergeCell ref="H17:H18"/>
    <mergeCell ref="I17:I18"/>
    <mergeCell ref="J17:K17"/>
    <mergeCell ref="L17:L18"/>
    <mergeCell ref="M17:M18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Z22">
      <selection activeCell="AG30" sqref="AG30"/>
    </sheetView>
  </sheetViews>
  <sheetFormatPr defaultColWidth="9.00390625" defaultRowHeight="12.75"/>
  <cols>
    <col min="1" max="1" width="15.75390625" style="0" customWidth="1"/>
    <col min="2" max="2" width="25.875" style="0" customWidth="1"/>
    <col min="3" max="3" width="16.125" style="0" customWidth="1"/>
    <col min="4" max="4" width="44.625" style="0" customWidth="1"/>
    <col min="5" max="5" width="16.375" style="0" customWidth="1"/>
    <col min="6" max="6" width="16.75390625" style="0" customWidth="1"/>
    <col min="7" max="7" width="16.375" style="0" customWidth="1"/>
    <col min="8" max="8" width="13.375" style="0" customWidth="1"/>
    <col min="9" max="9" width="12.875" style="0" customWidth="1"/>
    <col min="10" max="10" width="18.75390625" style="0" customWidth="1"/>
    <col min="11" max="11" width="26.375" style="0" customWidth="1"/>
    <col min="12" max="12" width="20.00390625" style="0" customWidth="1"/>
    <col min="13" max="13" width="15.75390625" style="0" hidden="1" customWidth="1"/>
    <col min="14" max="14" width="17.875" style="0" customWidth="1"/>
    <col min="15" max="15" width="14.875" style="0" customWidth="1"/>
    <col min="16" max="16" width="18.875" style="0" customWidth="1"/>
    <col min="17" max="17" width="18.375" style="0" customWidth="1"/>
    <col min="18" max="18" width="26.625" style="0" customWidth="1"/>
    <col min="19" max="19" width="23.75390625" style="0" customWidth="1"/>
    <col min="20" max="20" width="28.25390625" style="0" customWidth="1"/>
    <col min="21" max="21" width="20.125" style="0" customWidth="1"/>
    <col min="22" max="22" width="15.375" style="0" customWidth="1"/>
    <col min="23" max="23" width="31.25390625" style="0" customWidth="1"/>
    <col min="24" max="24" width="22.875" style="0" customWidth="1"/>
    <col min="25" max="25" width="18.375" style="0" customWidth="1"/>
    <col min="26" max="26" width="19.875" style="0" customWidth="1"/>
    <col min="27" max="27" width="19.625" style="0" customWidth="1"/>
    <col min="28" max="28" width="13.375" style="0" customWidth="1"/>
    <col min="29" max="29" width="11.875" style="0" customWidth="1"/>
    <col min="30" max="30" width="25.375" style="0" customWidth="1"/>
    <col min="31" max="31" width="16.25390625" style="0" customWidth="1"/>
    <col min="32" max="32" width="18.25390625" style="0" customWidth="1"/>
    <col min="33" max="33" width="16.00390625" style="0" customWidth="1"/>
    <col min="34" max="34" width="13.00390625" style="0" customWidth="1"/>
    <col min="35" max="35" width="11.25390625" style="0" customWidth="1"/>
    <col min="36" max="36" width="15.125" style="0" customWidth="1"/>
    <col min="37" max="37" width="16.75390625" style="0" customWidth="1"/>
  </cols>
  <sheetData>
    <row r="1" ht="18.75">
      <c r="L1" s="27" t="s">
        <v>332</v>
      </c>
    </row>
    <row r="2" ht="18.75">
      <c r="L2" s="27" t="s">
        <v>119</v>
      </c>
    </row>
    <row r="3" ht="18.75">
      <c r="L3" s="27" t="s">
        <v>341</v>
      </c>
    </row>
    <row r="4" spans="1:24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7" t="s">
        <v>611</v>
      </c>
      <c r="N4" s="172"/>
      <c r="O4" s="172"/>
      <c r="S4" s="27"/>
      <c r="X4" s="27"/>
    </row>
    <row r="5" spans="1:24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40" t="s">
        <v>333</v>
      </c>
      <c r="N5" s="172"/>
      <c r="O5" s="172"/>
      <c r="S5" s="40"/>
      <c r="X5" s="40"/>
    </row>
    <row r="6" spans="1:24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7" t="s">
        <v>338</v>
      </c>
      <c r="N6" s="172"/>
      <c r="O6" s="172"/>
      <c r="S6" s="27"/>
      <c r="X6" s="27"/>
    </row>
    <row r="7" spans="1:24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7" t="s">
        <v>335</v>
      </c>
      <c r="N7" s="172"/>
      <c r="O7" s="172"/>
      <c r="S7" s="27"/>
      <c r="X7" s="27"/>
    </row>
    <row r="8" spans="1:24" ht="9.75" customHeight="1">
      <c r="A8" s="19"/>
      <c r="B8" s="19"/>
      <c r="C8" s="19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8"/>
      <c r="O8" s="8"/>
      <c r="P8" s="8"/>
      <c r="Q8" s="8"/>
      <c r="R8" s="8"/>
      <c r="S8" s="8"/>
      <c r="T8" s="8"/>
      <c r="U8" s="8"/>
      <c r="V8" s="8"/>
      <c r="W8" s="8"/>
      <c r="X8" s="174"/>
    </row>
    <row r="9" spans="2:24" ht="17.25" customHeight="1">
      <c r="B9" s="175"/>
      <c r="C9" s="413" t="s">
        <v>374</v>
      </c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176"/>
      <c r="S9" s="176"/>
      <c r="T9" s="176"/>
      <c r="U9" s="176"/>
      <c r="V9" s="176"/>
      <c r="W9" s="176"/>
      <c r="X9" s="175"/>
    </row>
    <row r="10" spans="1:24" ht="18.75">
      <c r="A10" s="177">
        <v>21528000000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</row>
    <row r="11" spans="1:24" ht="12.75">
      <c r="A11" s="179" t="s">
        <v>644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</row>
    <row r="12" spans="1:24" ht="13.5" thickBot="1">
      <c r="A12" s="180"/>
      <c r="B12" s="174"/>
      <c r="C12" s="174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37" ht="30.75" customHeight="1">
      <c r="A13" s="397" t="s">
        <v>375</v>
      </c>
      <c r="B13" s="401" t="s">
        <v>376</v>
      </c>
      <c r="C13" s="355" t="s">
        <v>377</v>
      </c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34"/>
      <c r="O13" s="355" t="s">
        <v>377</v>
      </c>
      <c r="P13" s="356"/>
      <c r="Q13" s="356"/>
      <c r="R13" s="356"/>
      <c r="S13" s="356"/>
      <c r="T13" s="356"/>
      <c r="U13" s="356"/>
      <c r="V13" s="356"/>
      <c r="W13" s="356"/>
      <c r="X13" s="334"/>
      <c r="Y13" s="331" t="s">
        <v>378</v>
      </c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2"/>
    </row>
    <row r="14" spans="1:37" ht="30" customHeight="1">
      <c r="A14" s="398"/>
      <c r="B14" s="402"/>
      <c r="C14" s="420" t="s">
        <v>379</v>
      </c>
      <c r="D14" s="335" t="s">
        <v>380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7"/>
      <c r="O14" s="335" t="s">
        <v>380</v>
      </c>
      <c r="P14" s="336"/>
      <c r="Q14" s="336"/>
      <c r="R14" s="336"/>
      <c r="S14" s="336"/>
      <c r="T14" s="336"/>
      <c r="U14" s="336"/>
      <c r="V14" s="336"/>
      <c r="W14" s="337"/>
      <c r="X14" s="394" t="s">
        <v>629</v>
      </c>
      <c r="Y14" s="325" t="s">
        <v>380</v>
      </c>
      <c r="Z14" s="325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3" t="s">
        <v>629</v>
      </c>
    </row>
    <row r="15" spans="1:37" ht="24" customHeight="1">
      <c r="A15" s="398"/>
      <c r="B15" s="402"/>
      <c r="C15" s="421"/>
      <c r="D15" s="338" t="s">
        <v>381</v>
      </c>
      <c r="E15" s="339"/>
      <c r="F15" s="339"/>
      <c r="G15" s="339"/>
      <c r="H15" s="339"/>
      <c r="I15" s="339"/>
      <c r="J15" s="339"/>
      <c r="K15" s="339"/>
      <c r="L15" s="339"/>
      <c r="M15" s="339"/>
      <c r="N15" s="340"/>
      <c r="O15" s="338" t="s">
        <v>381</v>
      </c>
      <c r="P15" s="339"/>
      <c r="Q15" s="339"/>
      <c r="R15" s="339"/>
      <c r="S15" s="339"/>
      <c r="T15" s="339"/>
      <c r="U15" s="339"/>
      <c r="V15" s="340"/>
      <c r="W15" s="182" t="s">
        <v>584</v>
      </c>
      <c r="X15" s="395"/>
      <c r="Y15" s="325" t="s">
        <v>381</v>
      </c>
      <c r="Z15" s="325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24"/>
    </row>
    <row r="16" spans="1:37" ht="50.25" customHeight="1">
      <c r="A16" s="399"/>
      <c r="B16" s="403"/>
      <c r="C16" s="326" t="s">
        <v>382</v>
      </c>
      <c r="D16" s="411" t="s">
        <v>327</v>
      </c>
      <c r="E16" s="422" t="s">
        <v>383</v>
      </c>
      <c r="F16" s="411" t="s">
        <v>384</v>
      </c>
      <c r="G16" s="411" t="s">
        <v>384</v>
      </c>
      <c r="H16" s="405" t="s">
        <v>385</v>
      </c>
      <c r="I16" s="406"/>
      <c r="J16" s="323" t="s">
        <v>386</v>
      </c>
      <c r="K16" s="323"/>
      <c r="L16" s="388"/>
      <c r="M16" s="388"/>
      <c r="N16" s="412" t="s">
        <v>387</v>
      </c>
      <c r="O16" s="416" t="s">
        <v>605</v>
      </c>
      <c r="P16" s="417"/>
      <c r="Q16" s="417"/>
      <c r="R16" s="246" t="s">
        <v>118</v>
      </c>
      <c r="S16" s="326" t="s">
        <v>581</v>
      </c>
      <c r="T16" s="325" t="s">
        <v>388</v>
      </c>
      <c r="U16" s="325" t="s">
        <v>557</v>
      </c>
      <c r="V16" s="330"/>
      <c r="W16" s="247" t="s">
        <v>118</v>
      </c>
      <c r="X16" s="395"/>
      <c r="Y16" s="389" t="s">
        <v>605</v>
      </c>
      <c r="Z16" s="184" t="s">
        <v>118</v>
      </c>
      <c r="AA16" s="329" t="s">
        <v>143</v>
      </c>
      <c r="AB16" s="330"/>
      <c r="AC16" s="330"/>
      <c r="AD16" s="330"/>
      <c r="AE16" s="330"/>
      <c r="AF16" s="330"/>
      <c r="AG16" s="330"/>
      <c r="AH16" s="330"/>
      <c r="AI16" s="330"/>
      <c r="AJ16" s="330"/>
      <c r="AK16" s="324"/>
    </row>
    <row r="17" spans="1:37" ht="102.75" customHeight="1">
      <c r="A17" s="399"/>
      <c r="B17" s="403"/>
      <c r="C17" s="390"/>
      <c r="D17" s="393"/>
      <c r="E17" s="330"/>
      <c r="F17" s="393"/>
      <c r="G17" s="393"/>
      <c r="H17" s="407"/>
      <c r="I17" s="408"/>
      <c r="J17" s="330"/>
      <c r="K17" s="330"/>
      <c r="L17" s="330"/>
      <c r="M17" s="330"/>
      <c r="N17" s="327"/>
      <c r="O17" s="418"/>
      <c r="P17" s="419"/>
      <c r="Q17" s="419"/>
      <c r="R17" s="326" t="s">
        <v>389</v>
      </c>
      <c r="S17" s="393"/>
      <c r="T17" s="325"/>
      <c r="U17" s="330"/>
      <c r="V17" s="330"/>
      <c r="W17" s="182" t="s">
        <v>585</v>
      </c>
      <c r="X17" s="395"/>
      <c r="Y17" s="390"/>
      <c r="Z17" s="329" t="s">
        <v>390</v>
      </c>
      <c r="AA17" s="325" t="s">
        <v>144</v>
      </c>
      <c r="AB17" s="325" t="s">
        <v>145</v>
      </c>
      <c r="AC17" s="325"/>
      <c r="AD17" s="325" t="s">
        <v>146</v>
      </c>
      <c r="AE17" s="325" t="s">
        <v>147</v>
      </c>
      <c r="AF17" s="325" t="s">
        <v>148</v>
      </c>
      <c r="AG17" s="325" t="s">
        <v>149</v>
      </c>
      <c r="AH17" s="325" t="s">
        <v>182</v>
      </c>
      <c r="AI17" s="325"/>
      <c r="AJ17" s="325" t="s">
        <v>181</v>
      </c>
      <c r="AK17" s="324"/>
    </row>
    <row r="18" spans="1:37" ht="120.75" customHeight="1">
      <c r="A18" s="399"/>
      <c r="B18" s="403"/>
      <c r="C18" s="390"/>
      <c r="D18" s="393"/>
      <c r="E18" s="330"/>
      <c r="F18" s="388"/>
      <c r="G18" s="393"/>
      <c r="H18" s="409" t="s">
        <v>391</v>
      </c>
      <c r="I18" s="410"/>
      <c r="J18" s="326" t="s">
        <v>392</v>
      </c>
      <c r="K18" s="326" t="s">
        <v>393</v>
      </c>
      <c r="L18" s="326" t="s">
        <v>316</v>
      </c>
      <c r="M18" s="326" t="s">
        <v>394</v>
      </c>
      <c r="N18" s="326" t="s">
        <v>395</v>
      </c>
      <c r="O18" s="335" t="s">
        <v>606</v>
      </c>
      <c r="P18" s="337"/>
      <c r="Q18" s="321" t="s">
        <v>609</v>
      </c>
      <c r="R18" s="327"/>
      <c r="S18" s="393"/>
      <c r="T18" s="325"/>
      <c r="U18" s="330"/>
      <c r="V18" s="330"/>
      <c r="W18" s="326" t="s">
        <v>586</v>
      </c>
      <c r="X18" s="395"/>
      <c r="Y18" s="390"/>
      <c r="Z18" s="392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4"/>
    </row>
    <row r="19" spans="1:37" ht="185.25" customHeight="1">
      <c r="A19" s="399"/>
      <c r="B19" s="403"/>
      <c r="C19" s="391"/>
      <c r="D19" s="388"/>
      <c r="E19" s="183" t="s">
        <v>582</v>
      </c>
      <c r="F19" s="183" t="s">
        <v>583</v>
      </c>
      <c r="G19" s="388"/>
      <c r="H19" s="182" t="s">
        <v>637</v>
      </c>
      <c r="I19" s="185" t="s">
        <v>639</v>
      </c>
      <c r="J19" s="388"/>
      <c r="K19" s="388"/>
      <c r="L19" s="388"/>
      <c r="M19" s="388"/>
      <c r="N19" s="328"/>
      <c r="O19" s="187" t="s">
        <v>607</v>
      </c>
      <c r="P19" s="183" t="s">
        <v>608</v>
      </c>
      <c r="Q19" s="322"/>
      <c r="R19" s="328"/>
      <c r="S19" s="388"/>
      <c r="T19" s="182" t="s">
        <v>395</v>
      </c>
      <c r="U19" s="183" t="s">
        <v>637</v>
      </c>
      <c r="V19" s="183" t="s">
        <v>639</v>
      </c>
      <c r="W19" s="388"/>
      <c r="X19" s="395"/>
      <c r="Y19" s="391"/>
      <c r="Z19" s="392"/>
      <c r="AA19" s="182" t="s">
        <v>639</v>
      </c>
      <c r="AB19" s="182" t="s">
        <v>637</v>
      </c>
      <c r="AC19" s="182" t="s">
        <v>639</v>
      </c>
      <c r="AD19" s="182" t="s">
        <v>637</v>
      </c>
      <c r="AE19" s="182" t="s">
        <v>637</v>
      </c>
      <c r="AF19" s="182" t="s">
        <v>637</v>
      </c>
      <c r="AG19" s="182" t="s">
        <v>637</v>
      </c>
      <c r="AH19" s="182" t="s">
        <v>637</v>
      </c>
      <c r="AI19" s="182" t="s">
        <v>639</v>
      </c>
      <c r="AJ19" s="182" t="s">
        <v>637</v>
      </c>
      <c r="AK19" s="324"/>
    </row>
    <row r="20" spans="1:37" ht="21.75" customHeight="1">
      <c r="A20" s="400"/>
      <c r="B20" s="404"/>
      <c r="C20" s="183">
        <v>41040200</v>
      </c>
      <c r="D20" s="183">
        <v>41050600</v>
      </c>
      <c r="E20" s="183">
        <v>41051000</v>
      </c>
      <c r="F20" s="335">
        <v>41051100</v>
      </c>
      <c r="G20" s="337"/>
      <c r="H20" s="335">
        <v>41051200</v>
      </c>
      <c r="I20" s="337"/>
      <c r="J20" s="335">
        <v>41051400</v>
      </c>
      <c r="K20" s="415"/>
      <c r="L20" s="336"/>
      <c r="M20" s="186"/>
      <c r="N20" s="187">
        <v>41051500</v>
      </c>
      <c r="O20" s="335">
        <v>41053000</v>
      </c>
      <c r="P20" s="336"/>
      <c r="Q20" s="336"/>
      <c r="R20" s="187">
        <v>41053900</v>
      </c>
      <c r="S20" s="183">
        <v>41054900</v>
      </c>
      <c r="T20" s="182">
        <v>41055000</v>
      </c>
      <c r="U20" s="335">
        <v>41055200</v>
      </c>
      <c r="V20" s="337"/>
      <c r="W20" s="183">
        <v>41053900</v>
      </c>
      <c r="X20" s="396"/>
      <c r="Y20" s="182">
        <v>9620</v>
      </c>
      <c r="Z20" s="182">
        <v>9770</v>
      </c>
      <c r="AA20" s="335">
        <v>9800</v>
      </c>
      <c r="AB20" s="336"/>
      <c r="AC20" s="336"/>
      <c r="AD20" s="336"/>
      <c r="AE20" s="336"/>
      <c r="AF20" s="336"/>
      <c r="AG20" s="336"/>
      <c r="AH20" s="336"/>
      <c r="AI20" s="336"/>
      <c r="AJ20" s="337"/>
      <c r="AK20" s="324"/>
    </row>
    <row r="21" spans="1:37" ht="12.75">
      <c r="A21" s="188">
        <v>1</v>
      </c>
      <c r="B21" s="189">
        <v>2</v>
      </c>
      <c r="C21" s="190">
        <v>3</v>
      </c>
      <c r="D21" s="191" t="s">
        <v>396</v>
      </c>
      <c r="E21" s="191" t="s">
        <v>397</v>
      </c>
      <c r="F21" s="191" t="s">
        <v>398</v>
      </c>
      <c r="G21" s="191" t="s">
        <v>399</v>
      </c>
      <c r="H21" s="191" t="s">
        <v>400</v>
      </c>
      <c r="I21" s="191" t="s">
        <v>401</v>
      </c>
      <c r="J21" s="190">
        <v>10</v>
      </c>
      <c r="K21" s="190">
        <v>11</v>
      </c>
      <c r="L21" s="190">
        <v>12</v>
      </c>
      <c r="M21" s="190">
        <v>12</v>
      </c>
      <c r="N21" s="190">
        <v>13</v>
      </c>
      <c r="O21" s="253">
        <v>14</v>
      </c>
      <c r="P21" s="190">
        <v>15</v>
      </c>
      <c r="Q21" s="190">
        <v>16</v>
      </c>
      <c r="R21" s="190">
        <v>17</v>
      </c>
      <c r="S21" s="190">
        <v>18</v>
      </c>
      <c r="T21" s="190">
        <v>19</v>
      </c>
      <c r="U21" s="190">
        <v>20</v>
      </c>
      <c r="V21" s="190">
        <v>21</v>
      </c>
      <c r="W21" s="190">
        <v>22</v>
      </c>
      <c r="X21" s="190">
        <v>23</v>
      </c>
      <c r="Y21" s="190">
        <v>24</v>
      </c>
      <c r="Z21" s="190">
        <v>25</v>
      </c>
      <c r="AA21" s="190">
        <v>26</v>
      </c>
      <c r="AB21" s="190">
        <v>27</v>
      </c>
      <c r="AC21" s="190">
        <v>28</v>
      </c>
      <c r="AD21" s="253">
        <v>29</v>
      </c>
      <c r="AE21" s="190">
        <v>30</v>
      </c>
      <c r="AF21" s="190">
        <v>31</v>
      </c>
      <c r="AG21" s="190">
        <v>32</v>
      </c>
      <c r="AH21" s="190">
        <v>33</v>
      </c>
      <c r="AI21" s="253">
        <v>34</v>
      </c>
      <c r="AJ21" s="253">
        <v>35</v>
      </c>
      <c r="AK21" s="236">
        <v>36</v>
      </c>
    </row>
    <row r="22" spans="1:39" ht="21" customHeight="1">
      <c r="A22" s="188"/>
      <c r="B22" s="192" t="s">
        <v>402</v>
      </c>
      <c r="C22" s="280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0"/>
      <c r="O22" s="280"/>
      <c r="P22" s="280"/>
      <c r="Q22" s="282"/>
      <c r="R22" s="280"/>
      <c r="S22" s="280"/>
      <c r="T22" s="280"/>
      <c r="U22" s="280"/>
      <c r="V22" s="280"/>
      <c r="W22" s="280"/>
      <c r="X22" s="280"/>
      <c r="Y22" s="280"/>
      <c r="Z22" s="280"/>
      <c r="AA22" s="283">
        <v>300000</v>
      </c>
      <c r="AB22" s="283">
        <v>190000</v>
      </c>
      <c r="AC22" s="283">
        <v>60000</v>
      </c>
      <c r="AD22" s="283">
        <v>150000</v>
      </c>
      <c r="AE22" s="283">
        <v>100000</v>
      </c>
      <c r="AF22" s="283">
        <v>69650</v>
      </c>
      <c r="AG22" s="283">
        <v>48500</v>
      </c>
      <c r="AH22" s="283">
        <v>15000</v>
      </c>
      <c r="AI22" s="283">
        <v>45000</v>
      </c>
      <c r="AJ22" s="283">
        <v>200000</v>
      </c>
      <c r="AK22" s="284">
        <f>SUM(AA22:AJ22)</f>
        <v>1178150</v>
      </c>
      <c r="AM22" s="223"/>
    </row>
    <row r="23" spans="1:37" ht="24" customHeight="1">
      <c r="A23" s="193">
        <v>21100000000</v>
      </c>
      <c r="B23" s="192" t="s">
        <v>403</v>
      </c>
      <c r="C23" s="283">
        <f>1256800+1000000</f>
        <v>2256800</v>
      </c>
      <c r="D23" s="314">
        <v>742363.61</v>
      </c>
      <c r="E23" s="285">
        <v>844767</v>
      </c>
      <c r="F23" s="285">
        <v>243600</v>
      </c>
      <c r="G23" s="285"/>
      <c r="H23" s="285">
        <f>135900+113250+467964</f>
        <v>717114</v>
      </c>
      <c r="I23" s="285">
        <f>144000+120000-44583</f>
        <v>219417</v>
      </c>
      <c r="J23" s="285">
        <f>1553059+2418</f>
        <v>1555477</v>
      </c>
      <c r="K23" s="285">
        <v>174825</v>
      </c>
      <c r="L23" s="285">
        <v>1054463</v>
      </c>
      <c r="M23" s="285">
        <f>328856-328856</f>
        <v>0</v>
      </c>
      <c r="N23" s="285">
        <v>432000</v>
      </c>
      <c r="O23" s="285">
        <v>4041430</v>
      </c>
      <c r="P23" s="285">
        <v>1222448</v>
      </c>
      <c r="Q23" s="286">
        <v>8200</v>
      </c>
      <c r="R23" s="285">
        <v>147000</v>
      </c>
      <c r="S23" s="285">
        <v>935007</v>
      </c>
      <c r="T23" s="285">
        <f>1402800+720768</f>
        <v>2123568</v>
      </c>
      <c r="U23" s="285">
        <f>157035+120000</f>
        <v>277035</v>
      </c>
      <c r="V23" s="285">
        <f>250000+3450000</f>
        <v>3700000</v>
      </c>
      <c r="W23" s="285">
        <v>500000</v>
      </c>
      <c r="X23" s="314">
        <f>SUM(C23:W23)-P23</f>
        <v>19973066.61</v>
      </c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7"/>
    </row>
    <row r="24" spans="1:37" ht="38.25" customHeight="1">
      <c r="A24" s="194">
        <v>21203701000</v>
      </c>
      <c r="B24" s="195" t="s">
        <v>404</v>
      </c>
      <c r="C24" s="283"/>
      <c r="D24" s="314"/>
      <c r="E24" s="285"/>
      <c r="F24" s="285"/>
      <c r="G24" s="285"/>
      <c r="H24" s="285"/>
      <c r="I24" s="288"/>
      <c r="J24" s="288"/>
      <c r="K24" s="288"/>
      <c r="L24" s="288"/>
      <c r="M24" s="288"/>
      <c r="N24" s="288"/>
      <c r="O24" s="288"/>
      <c r="P24" s="288"/>
      <c r="Q24" s="289"/>
      <c r="R24" s="288"/>
      <c r="S24" s="288"/>
      <c r="T24" s="288"/>
      <c r="U24" s="288"/>
      <c r="V24" s="288"/>
      <c r="W24" s="288"/>
      <c r="X24" s="288"/>
      <c r="Y24" s="283">
        <f>831083+61338</f>
        <v>892421</v>
      </c>
      <c r="Z24" s="283">
        <v>202048</v>
      </c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4">
        <f>Y24+Z24</f>
        <v>1094469</v>
      </c>
    </row>
    <row r="25" spans="1:37" ht="53.25" customHeight="1">
      <c r="A25" s="196">
        <v>21301200000</v>
      </c>
      <c r="B25" s="197" t="s">
        <v>405</v>
      </c>
      <c r="C25" s="290"/>
      <c r="D25" s="315"/>
      <c r="E25" s="291"/>
      <c r="F25" s="291"/>
      <c r="G25" s="291">
        <v>569344</v>
      </c>
      <c r="H25" s="291"/>
      <c r="I25" s="288"/>
      <c r="J25" s="288"/>
      <c r="K25" s="288"/>
      <c r="L25" s="288"/>
      <c r="M25" s="288"/>
      <c r="N25" s="288"/>
      <c r="O25" s="288"/>
      <c r="P25" s="288"/>
      <c r="Q25" s="289"/>
      <c r="R25" s="288"/>
      <c r="S25" s="288"/>
      <c r="T25" s="288"/>
      <c r="U25" s="288"/>
      <c r="V25" s="288"/>
      <c r="W25" s="288"/>
      <c r="X25" s="288">
        <f>SUM(C25:T25)</f>
        <v>569344</v>
      </c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3"/>
    </row>
    <row r="26" spans="1:37" ht="26.25" customHeight="1" thickBot="1">
      <c r="A26" s="198" t="s">
        <v>643</v>
      </c>
      <c r="B26" s="199" t="s">
        <v>642</v>
      </c>
      <c r="C26" s="294">
        <f>SUM(C23:C23)</f>
        <v>2256800</v>
      </c>
      <c r="D26" s="316">
        <f aca="true" t="shared" si="0" ref="D26:W26">D23</f>
        <v>742363.61</v>
      </c>
      <c r="E26" s="294">
        <f>E23</f>
        <v>844767</v>
      </c>
      <c r="F26" s="294">
        <f t="shared" si="0"/>
        <v>243600</v>
      </c>
      <c r="G26" s="294">
        <f>G25</f>
        <v>569344</v>
      </c>
      <c r="H26" s="294">
        <f t="shared" si="0"/>
        <v>717114</v>
      </c>
      <c r="I26" s="294">
        <f t="shared" si="0"/>
        <v>219417</v>
      </c>
      <c r="J26" s="294">
        <f t="shared" si="0"/>
        <v>1555477</v>
      </c>
      <c r="K26" s="294">
        <f>K23</f>
        <v>174825</v>
      </c>
      <c r="L26" s="294">
        <f t="shared" si="0"/>
        <v>1054463</v>
      </c>
      <c r="M26" s="294">
        <f t="shared" si="0"/>
        <v>0</v>
      </c>
      <c r="N26" s="294">
        <f t="shared" si="0"/>
        <v>432000</v>
      </c>
      <c r="O26" s="294">
        <f>O23</f>
        <v>4041430</v>
      </c>
      <c r="P26" s="294">
        <f>P23</f>
        <v>1222448</v>
      </c>
      <c r="Q26" s="295">
        <f>Q23</f>
        <v>8200</v>
      </c>
      <c r="R26" s="294">
        <f t="shared" si="0"/>
        <v>147000</v>
      </c>
      <c r="S26" s="294">
        <f t="shared" si="0"/>
        <v>935007</v>
      </c>
      <c r="T26" s="294">
        <f t="shared" si="0"/>
        <v>2123568</v>
      </c>
      <c r="U26" s="294">
        <f t="shared" si="0"/>
        <v>277035</v>
      </c>
      <c r="V26" s="294">
        <f t="shared" si="0"/>
        <v>3700000</v>
      </c>
      <c r="W26" s="294">
        <f t="shared" si="0"/>
        <v>500000</v>
      </c>
      <c r="X26" s="316">
        <f>X23+X25</f>
        <v>20542410.61</v>
      </c>
      <c r="Y26" s="296">
        <f>Y23+Y24</f>
        <v>892421</v>
      </c>
      <c r="Z26" s="296">
        <f>Z24</f>
        <v>202048</v>
      </c>
      <c r="AA26" s="296">
        <f>AA22</f>
        <v>300000</v>
      </c>
      <c r="AB26" s="296">
        <f aca="true" t="shared" si="1" ref="AB26:AJ26">AB22</f>
        <v>190000</v>
      </c>
      <c r="AC26" s="296">
        <f t="shared" si="1"/>
        <v>60000</v>
      </c>
      <c r="AD26" s="296">
        <f t="shared" si="1"/>
        <v>150000</v>
      </c>
      <c r="AE26" s="296">
        <f t="shared" si="1"/>
        <v>100000</v>
      </c>
      <c r="AF26" s="296">
        <f t="shared" si="1"/>
        <v>69650</v>
      </c>
      <c r="AG26" s="296">
        <f t="shared" si="1"/>
        <v>48500</v>
      </c>
      <c r="AH26" s="296">
        <f t="shared" si="1"/>
        <v>15000</v>
      </c>
      <c r="AI26" s="296">
        <f t="shared" si="1"/>
        <v>45000</v>
      </c>
      <c r="AJ26" s="296">
        <f t="shared" si="1"/>
        <v>200000</v>
      </c>
      <c r="AK26" s="297">
        <f>AK22+AK24</f>
        <v>2272619</v>
      </c>
    </row>
    <row r="27" spans="1:37" ht="18.75">
      <c r="A27" s="200"/>
      <c r="B27" s="201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203"/>
    </row>
    <row r="28" spans="1:37" ht="10.5" customHeight="1">
      <c r="A28" s="200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203"/>
    </row>
    <row r="29" spans="1:42" ht="19.5" customHeight="1">
      <c r="A29" s="27"/>
      <c r="B29" s="28"/>
      <c r="P29" s="202"/>
      <c r="Q29" s="202"/>
      <c r="R29" s="202"/>
      <c r="S29" s="202"/>
      <c r="T29" s="202"/>
      <c r="U29" s="202"/>
      <c r="V29" s="202"/>
      <c r="W29" s="202"/>
      <c r="X29" s="202"/>
      <c r="Y29" s="27"/>
      <c r="AC29" s="177"/>
      <c r="AD29" s="177"/>
      <c r="AE29" s="177"/>
      <c r="AG29" s="27"/>
      <c r="AH29" s="27"/>
      <c r="AL29" s="202"/>
      <c r="AM29" s="202"/>
      <c r="AN29" s="202"/>
      <c r="AP29" s="202"/>
    </row>
    <row r="30" spans="4:31" ht="18.7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X30" s="27"/>
      <c r="Z30" s="27"/>
      <c r="AA30" s="28"/>
      <c r="AC30" s="28"/>
      <c r="AD30" s="28"/>
      <c r="AE30" s="28"/>
    </row>
  </sheetData>
  <sheetProtection/>
  <mergeCells count="54">
    <mergeCell ref="C9:P9"/>
    <mergeCell ref="H20:I20"/>
    <mergeCell ref="J20:L20"/>
    <mergeCell ref="F16:F18"/>
    <mergeCell ref="L18:L19"/>
    <mergeCell ref="O16:Q17"/>
    <mergeCell ref="J18:J19"/>
    <mergeCell ref="C14:C15"/>
    <mergeCell ref="E16:E18"/>
    <mergeCell ref="D16:D19"/>
    <mergeCell ref="A13:A20"/>
    <mergeCell ref="B13:B20"/>
    <mergeCell ref="M18:M19"/>
    <mergeCell ref="N18:N19"/>
    <mergeCell ref="C16:C19"/>
    <mergeCell ref="H16:I17"/>
    <mergeCell ref="H18:I18"/>
    <mergeCell ref="G16:G19"/>
    <mergeCell ref="N16:N17"/>
    <mergeCell ref="K18:K19"/>
    <mergeCell ref="Y14:AJ14"/>
    <mergeCell ref="S16:S19"/>
    <mergeCell ref="Y15:AJ15"/>
    <mergeCell ref="W18:W19"/>
    <mergeCell ref="U16:V18"/>
    <mergeCell ref="AG17:AG18"/>
    <mergeCell ref="X14:X20"/>
    <mergeCell ref="AB17:AC18"/>
    <mergeCell ref="AD17:AD18"/>
    <mergeCell ref="AJ17:AJ18"/>
    <mergeCell ref="AA20:AJ20"/>
    <mergeCell ref="O18:P18"/>
    <mergeCell ref="Q18:Q19"/>
    <mergeCell ref="J16:M17"/>
    <mergeCell ref="AH17:AI18"/>
    <mergeCell ref="AF17:AF18"/>
    <mergeCell ref="Y16:Y19"/>
    <mergeCell ref="Z17:Z19"/>
    <mergeCell ref="F20:G20"/>
    <mergeCell ref="U20:V20"/>
    <mergeCell ref="Y13:AK13"/>
    <mergeCell ref="AK14:AK20"/>
    <mergeCell ref="T16:T18"/>
    <mergeCell ref="R17:R19"/>
    <mergeCell ref="AA16:AJ16"/>
    <mergeCell ref="AA17:AA18"/>
    <mergeCell ref="O20:Q20"/>
    <mergeCell ref="AE17:AE18"/>
    <mergeCell ref="C13:N13"/>
    <mergeCell ref="D14:N14"/>
    <mergeCell ref="D15:N15"/>
    <mergeCell ref="O13:X13"/>
    <mergeCell ref="O14:W14"/>
    <mergeCell ref="O15:V15"/>
  </mergeCells>
  <printOptions/>
  <pageMargins left="0.6692913385826772" right="0.5118110236220472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0"/>
  <sheetViews>
    <sheetView zoomScale="80" zoomScaleNormal="80" zoomScalePageLayoutView="0" workbookViewId="0" topLeftCell="A1">
      <selection activeCell="H1" sqref="H1:J3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6.125" style="0" customWidth="1"/>
    <col min="4" max="4" width="39.00390625" style="0" customWidth="1"/>
    <col min="5" max="5" width="74.125" style="0" customWidth="1"/>
    <col min="6" max="6" width="15.00390625" style="0" customWidth="1"/>
    <col min="7" max="7" width="14.125" style="0" customWidth="1"/>
    <col min="8" max="8" width="14.00390625" style="0" customWidth="1"/>
    <col min="9" max="9" width="15.125" style="0" customWidth="1"/>
    <col min="10" max="10" width="13.75390625" style="0" customWidth="1"/>
  </cols>
  <sheetData>
    <row r="1" spans="8:10" ht="18.75">
      <c r="H1" s="27" t="s">
        <v>332</v>
      </c>
      <c r="I1" s="27"/>
      <c r="J1" s="27"/>
    </row>
    <row r="2" spans="8:10" ht="18.75">
      <c r="H2" s="27" t="s">
        <v>119</v>
      </c>
      <c r="I2" s="27"/>
      <c r="J2" s="27"/>
    </row>
    <row r="3" spans="8:10" ht="18.75">
      <c r="H3" s="27" t="s">
        <v>342</v>
      </c>
      <c r="I3" s="27"/>
      <c r="J3" s="27"/>
    </row>
    <row r="4" spans="8:10" ht="18.75">
      <c r="H4" s="27" t="s">
        <v>519</v>
      </c>
      <c r="I4" s="27"/>
      <c r="J4" s="27"/>
    </row>
    <row r="5" spans="8:10" ht="18.75">
      <c r="H5" s="40" t="s">
        <v>333</v>
      </c>
      <c r="I5" s="40"/>
      <c r="J5" s="27"/>
    </row>
    <row r="6" spans="8:10" ht="18.75">
      <c r="H6" s="27" t="s">
        <v>338</v>
      </c>
      <c r="I6" s="27"/>
      <c r="J6" s="27"/>
    </row>
    <row r="7" spans="8:10" ht="18.75">
      <c r="H7" s="27" t="s">
        <v>335</v>
      </c>
      <c r="I7" s="27"/>
      <c r="J7" s="27"/>
    </row>
    <row r="9" spans="1:10" ht="12.75">
      <c r="A9" s="429" t="s">
        <v>274</v>
      </c>
      <c r="B9" s="429"/>
      <c r="C9" s="429"/>
      <c r="D9" s="429"/>
      <c r="E9" s="429"/>
      <c r="F9" s="429"/>
      <c r="G9" s="429"/>
      <c r="H9" s="429"/>
      <c r="I9" s="429"/>
      <c r="J9" s="429"/>
    </row>
    <row r="10" spans="1:10" ht="36.75" customHeight="1">
      <c r="A10" s="429"/>
      <c r="B10" s="429"/>
      <c r="C10" s="429"/>
      <c r="D10" s="429"/>
      <c r="E10" s="429"/>
      <c r="F10" s="429"/>
      <c r="G10" s="429"/>
      <c r="H10" s="429"/>
      <c r="I10" s="429"/>
      <c r="J10" s="429"/>
    </row>
    <row r="11" spans="1:10" ht="15.75" customHeight="1">
      <c r="A11" s="256" t="s">
        <v>619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5.75" customHeight="1">
      <c r="A12" s="161" t="s">
        <v>644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ht="15" customHeight="1">
      <c r="A13" s="161"/>
      <c r="B13" s="4"/>
      <c r="C13" s="4"/>
      <c r="D13" s="4"/>
      <c r="E13" s="4"/>
      <c r="F13" s="4"/>
      <c r="G13" s="4"/>
      <c r="H13" s="4"/>
      <c r="I13" s="4"/>
      <c r="J13" s="4"/>
    </row>
    <row r="14" spans="1:10" ht="27.75" customHeight="1">
      <c r="A14" s="365" t="s">
        <v>646</v>
      </c>
      <c r="B14" s="365" t="s">
        <v>647</v>
      </c>
      <c r="C14" s="365" t="s">
        <v>635</v>
      </c>
      <c r="D14" s="365" t="s">
        <v>275</v>
      </c>
      <c r="E14" s="365" t="s">
        <v>276</v>
      </c>
      <c r="F14" s="365" t="s">
        <v>277</v>
      </c>
      <c r="G14" s="365" t="s">
        <v>278</v>
      </c>
      <c r="H14" s="365" t="s">
        <v>279</v>
      </c>
      <c r="I14" s="365" t="s">
        <v>280</v>
      </c>
      <c r="J14" s="365" t="s">
        <v>281</v>
      </c>
    </row>
    <row r="15" spans="1:10" ht="27.75" customHeight="1">
      <c r="A15" s="365"/>
      <c r="B15" s="365"/>
      <c r="C15" s="365"/>
      <c r="D15" s="365"/>
      <c r="E15" s="365"/>
      <c r="F15" s="365"/>
      <c r="G15" s="365"/>
      <c r="H15" s="365"/>
      <c r="I15" s="365"/>
      <c r="J15" s="365"/>
    </row>
    <row r="16" spans="1:10" ht="27.75" customHeight="1">
      <c r="A16" s="365"/>
      <c r="B16" s="365"/>
      <c r="C16" s="365"/>
      <c r="D16" s="365"/>
      <c r="E16" s="365"/>
      <c r="F16" s="365"/>
      <c r="G16" s="365"/>
      <c r="H16" s="365"/>
      <c r="I16" s="365"/>
      <c r="J16" s="365"/>
    </row>
    <row r="17" spans="1:10" ht="27.75" customHeight="1">
      <c r="A17" s="365"/>
      <c r="B17" s="365"/>
      <c r="C17" s="365"/>
      <c r="D17" s="365"/>
      <c r="E17" s="365"/>
      <c r="F17" s="365"/>
      <c r="G17" s="365"/>
      <c r="H17" s="365"/>
      <c r="I17" s="365"/>
      <c r="J17" s="365"/>
    </row>
    <row r="18" spans="1:10" ht="37.5" customHeight="1">
      <c r="A18" s="365"/>
      <c r="B18" s="365"/>
      <c r="C18" s="365"/>
      <c r="D18" s="365"/>
      <c r="E18" s="365"/>
      <c r="F18" s="365"/>
      <c r="G18" s="365"/>
      <c r="H18" s="365"/>
      <c r="I18" s="365"/>
      <c r="J18" s="365"/>
    </row>
    <row r="19" spans="1:10" ht="15">
      <c r="A19" s="131">
        <v>1</v>
      </c>
      <c r="B19" s="131">
        <v>2</v>
      </c>
      <c r="C19" s="131">
        <v>3</v>
      </c>
      <c r="D19" s="131">
        <v>4</v>
      </c>
      <c r="E19" s="131">
        <v>5</v>
      </c>
      <c r="F19" s="131">
        <v>6</v>
      </c>
      <c r="G19" s="131">
        <v>7</v>
      </c>
      <c r="H19" s="131">
        <v>8</v>
      </c>
      <c r="I19" s="131">
        <v>9</v>
      </c>
      <c r="J19" s="131">
        <v>10</v>
      </c>
    </row>
    <row r="20" spans="1:10" ht="45.75" customHeight="1">
      <c r="A20" s="132" t="s">
        <v>649</v>
      </c>
      <c r="B20" s="132"/>
      <c r="C20" s="132"/>
      <c r="D20" s="133" t="s">
        <v>650</v>
      </c>
      <c r="E20" s="134"/>
      <c r="F20" s="134"/>
      <c r="G20" s="134"/>
      <c r="H20" s="134"/>
      <c r="I20" s="135">
        <f>I21</f>
        <v>11203011</v>
      </c>
      <c r="J20" s="134"/>
    </row>
    <row r="21" spans="1:10" ht="45" customHeight="1">
      <c r="A21" s="132" t="s">
        <v>651</v>
      </c>
      <c r="B21" s="132"/>
      <c r="C21" s="132"/>
      <c r="D21" s="133" t="s">
        <v>650</v>
      </c>
      <c r="E21" s="134"/>
      <c r="F21" s="134"/>
      <c r="G21" s="134"/>
      <c r="H21" s="134"/>
      <c r="I21" s="135">
        <f>SUM(I22:I56)</f>
        <v>11203011</v>
      </c>
      <c r="J21" s="134"/>
    </row>
    <row r="22" spans="1:10" ht="45" customHeight="1">
      <c r="A22" s="426" t="s">
        <v>136</v>
      </c>
      <c r="B22" s="426" t="s">
        <v>86</v>
      </c>
      <c r="C22" s="426" t="s">
        <v>718</v>
      </c>
      <c r="D22" s="423" t="s">
        <v>87</v>
      </c>
      <c r="E22" s="137" t="s">
        <v>529</v>
      </c>
      <c r="F22" s="134" t="s">
        <v>289</v>
      </c>
      <c r="G22" s="134">
        <v>841229</v>
      </c>
      <c r="H22" s="134">
        <v>51.7</v>
      </c>
      <c r="I22" s="134">
        <f>401229-13268</f>
        <v>387961</v>
      </c>
      <c r="J22" s="138">
        <v>100</v>
      </c>
    </row>
    <row r="23" spans="1:10" ht="58.5" customHeight="1">
      <c r="A23" s="395"/>
      <c r="B23" s="395"/>
      <c r="C23" s="395"/>
      <c r="D23" s="390"/>
      <c r="E23" s="137" t="s">
        <v>531</v>
      </c>
      <c r="F23" s="134">
        <v>2020</v>
      </c>
      <c r="G23" s="134">
        <v>1489850</v>
      </c>
      <c r="H23" s="134"/>
      <c r="I23" s="134">
        <v>1489850</v>
      </c>
      <c r="J23" s="138">
        <v>100</v>
      </c>
    </row>
    <row r="24" spans="1:10" ht="71.25" customHeight="1">
      <c r="A24" s="395"/>
      <c r="B24" s="395"/>
      <c r="C24" s="395"/>
      <c r="D24" s="390"/>
      <c r="E24" s="137" t="s">
        <v>522</v>
      </c>
      <c r="F24" s="134">
        <v>2020</v>
      </c>
      <c r="G24" s="134">
        <v>290395</v>
      </c>
      <c r="H24" s="134"/>
      <c r="I24" s="134">
        <v>290395</v>
      </c>
      <c r="J24" s="138">
        <v>100</v>
      </c>
    </row>
    <row r="25" spans="1:10" ht="61.5" customHeight="1">
      <c r="A25" s="395"/>
      <c r="B25" s="395"/>
      <c r="C25" s="395"/>
      <c r="D25" s="390"/>
      <c r="E25" s="137" t="s">
        <v>523</v>
      </c>
      <c r="F25" s="134">
        <v>2020</v>
      </c>
      <c r="G25" s="134">
        <v>274391</v>
      </c>
      <c r="H25" s="134"/>
      <c r="I25" s="134">
        <v>274391</v>
      </c>
      <c r="J25" s="138">
        <v>100</v>
      </c>
    </row>
    <row r="26" spans="1:10" ht="66" customHeight="1">
      <c r="A26" s="395"/>
      <c r="B26" s="395"/>
      <c r="C26" s="395"/>
      <c r="D26" s="390"/>
      <c r="E26" s="137" t="s">
        <v>524</v>
      </c>
      <c r="F26" s="134">
        <v>2020</v>
      </c>
      <c r="G26" s="134">
        <v>234402</v>
      </c>
      <c r="H26" s="134"/>
      <c r="I26" s="134">
        <v>234402</v>
      </c>
      <c r="J26" s="138">
        <v>100</v>
      </c>
    </row>
    <row r="27" spans="1:10" ht="58.5" customHeight="1">
      <c r="A27" s="396"/>
      <c r="B27" s="396"/>
      <c r="C27" s="396"/>
      <c r="D27" s="391"/>
      <c r="E27" s="137" t="s">
        <v>528</v>
      </c>
      <c r="F27" s="134">
        <v>2020</v>
      </c>
      <c r="G27" s="134">
        <v>1061729</v>
      </c>
      <c r="H27" s="134"/>
      <c r="I27" s="134">
        <v>48086</v>
      </c>
      <c r="J27" s="138">
        <f>I27/G27*100</f>
        <v>4.529027652065641</v>
      </c>
    </row>
    <row r="28" spans="1:10" ht="60" customHeight="1">
      <c r="A28" s="426" t="s">
        <v>167</v>
      </c>
      <c r="B28" s="426" t="s">
        <v>168</v>
      </c>
      <c r="C28" s="426" t="s">
        <v>718</v>
      </c>
      <c r="D28" s="423" t="s">
        <v>169</v>
      </c>
      <c r="E28" s="137" t="s">
        <v>532</v>
      </c>
      <c r="F28" s="134">
        <v>2020</v>
      </c>
      <c r="G28" s="134">
        <v>205558</v>
      </c>
      <c r="H28" s="134"/>
      <c r="I28" s="134">
        <v>182560</v>
      </c>
      <c r="J28" s="138">
        <f>I28/G28*100</f>
        <v>88.81191683125931</v>
      </c>
    </row>
    <row r="29" spans="1:10" ht="46.5" customHeight="1">
      <c r="A29" s="395"/>
      <c r="B29" s="395"/>
      <c r="C29" s="395"/>
      <c r="D29" s="390"/>
      <c r="E29" s="137" t="s">
        <v>533</v>
      </c>
      <c r="F29" s="134" t="s">
        <v>289</v>
      </c>
      <c r="G29" s="134">
        <v>1482318</v>
      </c>
      <c r="H29" s="134">
        <v>53.9</v>
      </c>
      <c r="I29" s="134">
        <v>682318</v>
      </c>
      <c r="J29" s="138">
        <v>100</v>
      </c>
    </row>
    <row r="30" spans="1:10" ht="46.5" customHeight="1">
      <c r="A30" s="395"/>
      <c r="B30" s="395"/>
      <c r="C30" s="395"/>
      <c r="D30" s="390"/>
      <c r="E30" s="137" t="s">
        <v>534</v>
      </c>
      <c r="F30" s="134">
        <v>2020</v>
      </c>
      <c r="G30" s="134">
        <v>245255</v>
      </c>
      <c r="H30" s="134"/>
      <c r="I30" s="134">
        <v>245255</v>
      </c>
      <c r="J30" s="138">
        <v>100</v>
      </c>
    </row>
    <row r="31" spans="1:10" ht="51" customHeight="1">
      <c r="A31" s="395"/>
      <c r="B31" s="395"/>
      <c r="C31" s="395"/>
      <c r="D31" s="390"/>
      <c r="E31" s="137" t="s">
        <v>535</v>
      </c>
      <c r="F31" s="134">
        <v>2020</v>
      </c>
      <c r="G31" s="134">
        <v>272399</v>
      </c>
      <c r="H31" s="134"/>
      <c r="I31" s="134">
        <v>272399</v>
      </c>
      <c r="J31" s="138">
        <v>100</v>
      </c>
    </row>
    <row r="32" spans="1:10" ht="60" customHeight="1">
      <c r="A32" s="395"/>
      <c r="B32" s="395"/>
      <c r="C32" s="395"/>
      <c r="D32" s="390"/>
      <c r="E32" s="137" t="s">
        <v>536</v>
      </c>
      <c r="F32" s="134">
        <v>2020</v>
      </c>
      <c r="G32" s="134">
        <v>238931</v>
      </c>
      <c r="H32" s="134"/>
      <c r="I32" s="134">
        <v>238931</v>
      </c>
      <c r="J32" s="138">
        <v>100</v>
      </c>
    </row>
    <row r="33" spans="1:10" ht="46.5" customHeight="1">
      <c r="A33" s="395"/>
      <c r="B33" s="395"/>
      <c r="C33" s="395"/>
      <c r="D33" s="390"/>
      <c r="E33" s="137" t="s">
        <v>537</v>
      </c>
      <c r="F33" s="134">
        <v>2020</v>
      </c>
      <c r="G33" s="134">
        <f>250000+123906</f>
        <v>373906</v>
      </c>
      <c r="H33" s="134"/>
      <c r="I33" s="134">
        <f>250000+123906</f>
        <v>373906</v>
      </c>
      <c r="J33" s="138">
        <v>100</v>
      </c>
    </row>
    <row r="34" spans="1:10" ht="61.5" customHeight="1">
      <c r="A34" s="395"/>
      <c r="B34" s="395"/>
      <c r="C34" s="395"/>
      <c r="D34" s="390"/>
      <c r="E34" s="137" t="s">
        <v>563</v>
      </c>
      <c r="F34" s="134">
        <v>2020</v>
      </c>
      <c r="G34" s="134">
        <v>24265</v>
      </c>
      <c r="H34" s="134"/>
      <c r="I34" s="134">
        <v>24265</v>
      </c>
      <c r="J34" s="138">
        <v>100</v>
      </c>
    </row>
    <row r="35" spans="1:10" ht="61.5" customHeight="1">
      <c r="A35" s="395"/>
      <c r="B35" s="395"/>
      <c r="C35" s="395"/>
      <c r="D35" s="390"/>
      <c r="E35" s="137" t="s">
        <v>317</v>
      </c>
      <c r="F35" s="134">
        <v>2020</v>
      </c>
      <c r="G35" s="134">
        <v>29078</v>
      </c>
      <c r="H35" s="134"/>
      <c r="I35" s="134">
        <v>29078</v>
      </c>
      <c r="J35" s="138">
        <v>100</v>
      </c>
    </row>
    <row r="36" spans="1:10" ht="51" customHeight="1">
      <c r="A36" s="396"/>
      <c r="B36" s="396"/>
      <c r="C36" s="396"/>
      <c r="D36" s="391"/>
      <c r="E36" s="137" t="s">
        <v>282</v>
      </c>
      <c r="F36" s="134">
        <v>2020</v>
      </c>
      <c r="G36" s="134">
        <v>200000</v>
      </c>
      <c r="H36" s="134"/>
      <c r="I36" s="134">
        <v>200000</v>
      </c>
      <c r="J36" s="138">
        <v>100</v>
      </c>
    </row>
    <row r="37" spans="1:10" ht="57.75" customHeight="1">
      <c r="A37" s="259" t="s">
        <v>415</v>
      </c>
      <c r="B37" s="259" t="s">
        <v>132</v>
      </c>
      <c r="C37" s="127" t="s">
        <v>718</v>
      </c>
      <c r="D37" s="153" t="s">
        <v>133</v>
      </c>
      <c r="E37" s="137" t="s">
        <v>301</v>
      </c>
      <c r="F37" s="134">
        <v>2020</v>
      </c>
      <c r="G37" s="134">
        <v>48600</v>
      </c>
      <c r="H37" s="134"/>
      <c r="I37" s="134">
        <v>48600</v>
      </c>
      <c r="J37" s="138">
        <v>100</v>
      </c>
    </row>
    <row r="38" spans="1:10" ht="66" customHeight="1">
      <c r="A38" s="425" t="s">
        <v>121</v>
      </c>
      <c r="B38" s="425" t="s">
        <v>41</v>
      </c>
      <c r="C38" s="425" t="s">
        <v>718</v>
      </c>
      <c r="D38" s="423" t="s">
        <v>283</v>
      </c>
      <c r="E38" s="137" t="s">
        <v>538</v>
      </c>
      <c r="F38" s="140">
        <v>2020</v>
      </c>
      <c r="G38" s="141">
        <v>1035724</v>
      </c>
      <c r="H38" s="134"/>
      <c r="I38" s="134">
        <v>1035724</v>
      </c>
      <c r="J38" s="138">
        <v>100</v>
      </c>
    </row>
    <row r="39" spans="1:10" ht="66" customHeight="1">
      <c r="A39" s="427"/>
      <c r="B39" s="427"/>
      <c r="C39" s="427"/>
      <c r="D39" s="424"/>
      <c r="E39" s="137" t="s">
        <v>541</v>
      </c>
      <c r="F39" s="140">
        <v>2020</v>
      </c>
      <c r="G39" s="141">
        <v>747973</v>
      </c>
      <c r="H39" s="134"/>
      <c r="I39" s="134">
        <v>747973</v>
      </c>
      <c r="J39" s="138">
        <v>100</v>
      </c>
    </row>
    <row r="40" spans="1:10" ht="18.75">
      <c r="A40" s="427"/>
      <c r="B40" s="427"/>
      <c r="C40" s="427"/>
      <c r="D40" s="424"/>
      <c r="E40" s="137" t="s">
        <v>539</v>
      </c>
      <c r="F40" s="140">
        <v>2020</v>
      </c>
      <c r="G40" s="141">
        <v>284098</v>
      </c>
      <c r="H40" s="134"/>
      <c r="I40" s="134">
        <v>284098</v>
      </c>
      <c r="J40" s="138">
        <v>100</v>
      </c>
    </row>
    <row r="41" spans="1:10" ht="37.5">
      <c r="A41" s="427"/>
      <c r="B41" s="427"/>
      <c r="C41" s="427"/>
      <c r="D41" s="424"/>
      <c r="E41" s="137" t="s">
        <v>540</v>
      </c>
      <c r="F41" s="140">
        <v>2020</v>
      </c>
      <c r="G41" s="141">
        <v>138312</v>
      </c>
      <c r="H41" s="134"/>
      <c r="I41" s="134">
        <f>138312-33314</f>
        <v>104998</v>
      </c>
      <c r="J41" s="138">
        <f>I41/G41*100</f>
        <v>75.9138758748337</v>
      </c>
    </row>
    <row r="42" spans="1:10" ht="18.75">
      <c r="A42" s="427"/>
      <c r="B42" s="427"/>
      <c r="C42" s="427"/>
      <c r="D42" s="424"/>
      <c r="E42" s="137" t="s">
        <v>599</v>
      </c>
      <c r="F42" s="140">
        <v>2020</v>
      </c>
      <c r="G42" s="141">
        <v>33314</v>
      </c>
      <c r="H42" s="134"/>
      <c r="I42" s="134">
        <v>33314</v>
      </c>
      <c r="J42" s="138">
        <v>100</v>
      </c>
    </row>
    <row r="43" spans="1:10" ht="18.75">
      <c r="A43" s="427"/>
      <c r="B43" s="427"/>
      <c r="C43" s="427"/>
      <c r="D43" s="424"/>
      <c r="E43" s="137" t="s">
        <v>285</v>
      </c>
      <c r="F43" s="140">
        <v>2020</v>
      </c>
      <c r="G43" s="141">
        <v>53021</v>
      </c>
      <c r="H43" s="134"/>
      <c r="I43" s="134">
        <v>53021</v>
      </c>
      <c r="J43" s="138">
        <v>100</v>
      </c>
    </row>
    <row r="44" spans="1:10" ht="66" customHeight="1">
      <c r="A44" s="427"/>
      <c r="B44" s="427"/>
      <c r="C44" s="427"/>
      <c r="D44" s="424"/>
      <c r="E44" s="137" t="s">
        <v>284</v>
      </c>
      <c r="F44" s="140">
        <v>2020</v>
      </c>
      <c r="G44" s="141">
        <v>57727</v>
      </c>
      <c r="H44" s="134"/>
      <c r="I44" s="134">
        <v>57727</v>
      </c>
      <c r="J44" s="138">
        <v>100</v>
      </c>
    </row>
    <row r="45" spans="1:10" ht="48" customHeight="1">
      <c r="A45" s="427"/>
      <c r="B45" s="427"/>
      <c r="C45" s="427"/>
      <c r="D45" s="424"/>
      <c r="E45" s="137" t="s">
        <v>286</v>
      </c>
      <c r="F45" s="140">
        <v>2020</v>
      </c>
      <c r="G45" s="141">
        <f>60000+26000</f>
        <v>86000</v>
      </c>
      <c r="H45" s="134"/>
      <c r="I45" s="134">
        <f>60000+26000</f>
        <v>86000</v>
      </c>
      <c r="J45" s="138">
        <v>100</v>
      </c>
    </row>
    <row r="46" spans="1:10" ht="42.75" customHeight="1">
      <c r="A46" s="427"/>
      <c r="B46" s="427"/>
      <c r="C46" s="427"/>
      <c r="D46" s="424"/>
      <c r="E46" s="137" t="s">
        <v>287</v>
      </c>
      <c r="F46" s="140">
        <v>2020</v>
      </c>
      <c r="G46" s="141">
        <v>300000</v>
      </c>
      <c r="H46" s="134"/>
      <c r="I46" s="134">
        <v>300000</v>
      </c>
      <c r="J46" s="138">
        <v>100</v>
      </c>
    </row>
    <row r="47" spans="1:10" ht="39.75" customHeight="1">
      <c r="A47" s="388"/>
      <c r="B47" s="428"/>
      <c r="C47" s="388"/>
      <c r="D47" s="391"/>
      <c r="E47" s="142" t="s">
        <v>288</v>
      </c>
      <c r="F47" s="140" t="s">
        <v>289</v>
      </c>
      <c r="G47" s="141">
        <v>1343074</v>
      </c>
      <c r="H47" s="134">
        <v>73.4</v>
      </c>
      <c r="I47" s="134">
        <v>236684</v>
      </c>
      <c r="J47" s="138">
        <v>91</v>
      </c>
    </row>
    <row r="48" spans="1:10" ht="72" customHeight="1" hidden="1">
      <c r="A48" s="254"/>
      <c r="B48" s="254"/>
      <c r="C48" s="254"/>
      <c r="D48" s="254"/>
      <c r="E48" s="137" t="s">
        <v>290</v>
      </c>
      <c r="F48" s="134">
        <v>2020</v>
      </c>
      <c r="G48" s="143">
        <v>12247008</v>
      </c>
      <c r="H48" s="134"/>
      <c r="I48" s="134">
        <f>1204337-1204337</f>
        <v>0</v>
      </c>
      <c r="J48" s="138">
        <v>9.8</v>
      </c>
    </row>
    <row r="49" spans="1:10" ht="74.25" customHeight="1" hidden="1">
      <c r="A49" s="255"/>
      <c r="B49" s="255"/>
      <c r="C49" s="255"/>
      <c r="D49" s="255"/>
      <c r="E49" s="137" t="s">
        <v>291</v>
      </c>
      <c r="F49" s="134" t="s">
        <v>292</v>
      </c>
      <c r="G49" s="134">
        <v>6228838</v>
      </c>
      <c r="H49" s="134">
        <v>1.1</v>
      </c>
      <c r="I49" s="134">
        <f>200000-200000</f>
        <v>0</v>
      </c>
      <c r="J49" s="138">
        <v>4.3</v>
      </c>
    </row>
    <row r="50" spans="1:11" ht="58.5" customHeight="1">
      <c r="A50" s="425" t="s">
        <v>98</v>
      </c>
      <c r="B50" s="425" t="s">
        <v>96</v>
      </c>
      <c r="C50" s="426" t="s">
        <v>719</v>
      </c>
      <c r="D50" s="423" t="s">
        <v>97</v>
      </c>
      <c r="E50" s="142" t="s">
        <v>293</v>
      </c>
      <c r="F50" s="140" t="s">
        <v>294</v>
      </c>
      <c r="G50" s="144">
        <v>20691542</v>
      </c>
      <c r="H50" s="145">
        <v>6.7</v>
      </c>
      <c r="I50" s="141">
        <f>1306707-190000</f>
        <v>1116707</v>
      </c>
      <c r="J50" s="138">
        <v>12.1</v>
      </c>
      <c r="K50" s="146"/>
    </row>
    <row r="51" spans="1:10" ht="65.25" customHeight="1" hidden="1">
      <c r="A51" s="393"/>
      <c r="B51" s="393"/>
      <c r="C51" s="395"/>
      <c r="D51" s="390"/>
      <c r="E51" s="134"/>
      <c r="F51" s="134"/>
      <c r="G51" s="134"/>
      <c r="H51" s="134"/>
      <c r="I51" s="135">
        <f>I52</f>
        <v>0</v>
      </c>
      <c r="J51" s="134"/>
    </row>
    <row r="52" spans="1:10" ht="80.25" customHeight="1" hidden="1">
      <c r="A52" s="393"/>
      <c r="B52" s="393"/>
      <c r="C52" s="395"/>
      <c r="D52" s="390"/>
      <c r="E52" s="134"/>
      <c r="F52" s="134"/>
      <c r="G52" s="134"/>
      <c r="H52" s="134"/>
      <c r="I52" s="135">
        <f>SUM(I53:I54)</f>
        <v>0</v>
      </c>
      <c r="J52" s="134"/>
    </row>
    <row r="53" spans="1:10" ht="61.5" customHeight="1" hidden="1">
      <c r="A53" s="393"/>
      <c r="B53" s="393"/>
      <c r="C53" s="395"/>
      <c r="D53" s="390"/>
      <c r="E53" s="137" t="s">
        <v>295</v>
      </c>
      <c r="F53" s="134">
        <v>2020</v>
      </c>
      <c r="G53" s="134">
        <v>46683</v>
      </c>
      <c r="H53" s="134"/>
      <c r="I53" s="134">
        <f>46683-46683</f>
        <v>0</v>
      </c>
      <c r="J53" s="138">
        <v>100</v>
      </c>
    </row>
    <row r="54" spans="1:10" ht="79.5" customHeight="1" hidden="1">
      <c r="A54" s="393"/>
      <c r="B54" s="393"/>
      <c r="C54" s="395"/>
      <c r="D54" s="390"/>
      <c r="E54" s="137" t="s">
        <v>296</v>
      </c>
      <c r="F54" s="134" t="s">
        <v>294</v>
      </c>
      <c r="G54" s="134">
        <v>6093630</v>
      </c>
      <c r="H54" s="134">
        <v>1.9</v>
      </c>
      <c r="I54" s="134">
        <f>597771-597771</f>
        <v>0</v>
      </c>
      <c r="J54" s="138">
        <v>11.7</v>
      </c>
    </row>
    <row r="55" spans="1:10" ht="49.5" customHeight="1">
      <c r="A55" s="388"/>
      <c r="B55" s="388"/>
      <c r="C55" s="396"/>
      <c r="D55" s="391"/>
      <c r="E55" s="137" t="s">
        <v>303</v>
      </c>
      <c r="F55" s="134" t="s">
        <v>304</v>
      </c>
      <c r="G55" s="134">
        <v>434764188</v>
      </c>
      <c r="H55" s="134"/>
      <c r="I55" s="134">
        <f>6666667-2000000-1000000-1445833-65146-48600</f>
        <v>2107088</v>
      </c>
      <c r="J55" s="138">
        <f>I55/G55*100</f>
        <v>0.48465077349011093</v>
      </c>
    </row>
    <row r="56" spans="1:10" ht="93.75">
      <c r="A56" s="127" t="s">
        <v>720</v>
      </c>
      <c r="B56" s="127" t="s">
        <v>721</v>
      </c>
      <c r="C56" s="127" t="s">
        <v>722</v>
      </c>
      <c r="D56" s="128" t="s">
        <v>723</v>
      </c>
      <c r="E56" s="137" t="s">
        <v>413</v>
      </c>
      <c r="F56" s="134">
        <v>2020</v>
      </c>
      <c r="G56" s="134">
        <f>17280</f>
        <v>17280</v>
      </c>
      <c r="H56" s="134"/>
      <c r="I56" s="134">
        <f>17280</f>
        <v>17280</v>
      </c>
      <c r="J56" s="138">
        <f>I56/G56*100</f>
        <v>100</v>
      </c>
    </row>
    <row r="57" spans="1:10" ht="42.75" customHeight="1">
      <c r="A57" s="147" t="s">
        <v>745</v>
      </c>
      <c r="B57" s="147"/>
      <c r="C57" s="147"/>
      <c r="D57" s="148" t="s">
        <v>746</v>
      </c>
      <c r="E57" s="137"/>
      <c r="F57" s="134"/>
      <c r="G57" s="134"/>
      <c r="H57" s="134"/>
      <c r="I57" s="135">
        <f>I58</f>
        <v>7566518</v>
      </c>
      <c r="J57" s="138"/>
    </row>
    <row r="58" spans="1:10" ht="37.5">
      <c r="A58" s="132" t="s">
        <v>747</v>
      </c>
      <c r="B58" s="132"/>
      <c r="C58" s="132"/>
      <c r="D58" s="133" t="s">
        <v>746</v>
      </c>
      <c r="E58" s="137"/>
      <c r="F58" s="134"/>
      <c r="G58" s="134"/>
      <c r="H58" s="134"/>
      <c r="I58" s="135">
        <f>SUM(I59:I80)</f>
        <v>7566518</v>
      </c>
      <c r="J58" s="138"/>
    </row>
    <row r="59" spans="1:10" ht="18.75" hidden="1">
      <c r="A59" s="426" t="s">
        <v>128</v>
      </c>
      <c r="B59" s="426" t="s">
        <v>129</v>
      </c>
      <c r="C59" s="426" t="s">
        <v>718</v>
      </c>
      <c r="D59" s="423" t="s">
        <v>130</v>
      </c>
      <c r="E59" s="137" t="s">
        <v>547</v>
      </c>
      <c r="F59" s="134">
        <v>2020</v>
      </c>
      <c r="G59" s="134">
        <v>689006</v>
      </c>
      <c r="H59" s="134"/>
      <c r="I59" s="134">
        <f>458596-134273-324323</f>
        <v>0</v>
      </c>
      <c r="J59" s="138">
        <f>I59/G59*100</f>
        <v>0</v>
      </c>
    </row>
    <row r="60" spans="1:10" ht="37.5">
      <c r="A60" s="430"/>
      <c r="B60" s="430"/>
      <c r="C60" s="430"/>
      <c r="D60" s="424"/>
      <c r="E60" s="137" t="s">
        <v>587</v>
      </c>
      <c r="F60" s="134">
        <v>2020</v>
      </c>
      <c r="G60" s="134">
        <v>49963</v>
      </c>
      <c r="H60" s="134"/>
      <c r="I60" s="134">
        <v>49963</v>
      </c>
      <c r="J60" s="138">
        <f>I60/G60*100</f>
        <v>100</v>
      </c>
    </row>
    <row r="61" spans="1:10" ht="48" customHeight="1">
      <c r="A61" s="395"/>
      <c r="B61" s="395"/>
      <c r="C61" s="395"/>
      <c r="D61" s="390"/>
      <c r="E61" s="137" t="s">
        <v>551</v>
      </c>
      <c r="F61" s="134" t="s">
        <v>289</v>
      </c>
      <c r="G61" s="134">
        <v>1286052</v>
      </c>
      <c r="H61" s="134">
        <v>73.7</v>
      </c>
      <c r="I61" s="134">
        <v>251261</v>
      </c>
      <c r="J61" s="138">
        <v>100</v>
      </c>
    </row>
    <row r="62" spans="1:10" ht="48" customHeight="1">
      <c r="A62" s="395"/>
      <c r="B62" s="395"/>
      <c r="C62" s="395"/>
      <c r="D62" s="390"/>
      <c r="E62" s="137" t="s">
        <v>411</v>
      </c>
      <c r="F62" s="134">
        <v>2020</v>
      </c>
      <c r="G62" s="134">
        <v>49899</v>
      </c>
      <c r="H62" s="134"/>
      <c r="I62" s="134">
        <v>49899</v>
      </c>
      <c r="J62" s="138">
        <v>100</v>
      </c>
    </row>
    <row r="63" spans="1:10" ht="56.25">
      <c r="A63" s="395"/>
      <c r="B63" s="395"/>
      <c r="C63" s="395"/>
      <c r="D63" s="390"/>
      <c r="E63" s="137" t="s">
        <v>548</v>
      </c>
      <c r="F63" s="134">
        <v>2020</v>
      </c>
      <c r="G63" s="134">
        <v>976422</v>
      </c>
      <c r="H63" s="134"/>
      <c r="I63" s="134">
        <v>924701</v>
      </c>
      <c r="J63" s="138">
        <f>I63/G63*100</f>
        <v>94.70300751109664</v>
      </c>
    </row>
    <row r="64" spans="1:10" ht="37.5">
      <c r="A64" s="395"/>
      <c r="B64" s="395"/>
      <c r="C64" s="395"/>
      <c r="D64" s="390"/>
      <c r="E64" s="137" t="s">
        <v>566</v>
      </c>
      <c r="F64" s="134">
        <v>2020</v>
      </c>
      <c r="G64" s="134">
        <v>49996</v>
      </c>
      <c r="H64" s="134"/>
      <c r="I64" s="134">
        <v>49996</v>
      </c>
      <c r="J64" s="138">
        <v>100</v>
      </c>
    </row>
    <row r="65" spans="1:10" ht="56.25">
      <c r="A65" s="395"/>
      <c r="B65" s="395"/>
      <c r="C65" s="395"/>
      <c r="D65" s="390"/>
      <c r="E65" s="137" t="s">
        <v>602</v>
      </c>
      <c r="F65" s="134">
        <v>2020</v>
      </c>
      <c r="G65" s="134">
        <v>49900</v>
      </c>
      <c r="H65" s="134"/>
      <c r="I65" s="134">
        <v>49900</v>
      </c>
      <c r="J65" s="138">
        <v>100</v>
      </c>
    </row>
    <row r="66" spans="1:10" ht="37.5">
      <c r="A66" s="395"/>
      <c r="B66" s="395"/>
      <c r="C66" s="395"/>
      <c r="D66" s="390"/>
      <c r="E66" s="137" t="s">
        <v>603</v>
      </c>
      <c r="F66" s="134">
        <v>2020</v>
      </c>
      <c r="G66" s="134">
        <v>45503</v>
      </c>
      <c r="H66" s="134"/>
      <c r="I66" s="134">
        <v>45503</v>
      </c>
      <c r="J66" s="138">
        <v>100</v>
      </c>
    </row>
    <row r="67" spans="1:10" ht="93.75">
      <c r="A67" s="395"/>
      <c r="B67" s="395"/>
      <c r="C67" s="395"/>
      <c r="D67" s="390"/>
      <c r="E67" s="137" t="s">
        <v>546</v>
      </c>
      <c r="F67" s="134">
        <v>2020</v>
      </c>
      <c r="G67" s="134">
        <v>1969418</v>
      </c>
      <c r="H67" s="134"/>
      <c r="I67" s="134">
        <f>1562840+62848</f>
        <v>1625688</v>
      </c>
      <c r="J67" s="138">
        <f>I67/G67*100</f>
        <v>82.54662037210994</v>
      </c>
    </row>
    <row r="68" spans="1:10" ht="18.75">
      <c r="A68" s="395"/>
      <c r="B68" s="395"/>
      <c r="C68" s="395"/>
      <c r="D68" s="390"/>
      <c r="E68" s="137" t="s">
        <v>318</v>
      </c>
      <c r="F68" s="134">
        <v>2020</v>
      </c>
      <c r="G68" s="134">
        <v>49879</v>
      </c>
      <c r="H68" s="134"/>
      <c r="I68" s="134">
        <v>49879</v>
      </c>
      <c r="J68" s="138">
        <v>100</v>
      </c>
    </row>
    <row r="69" spans="1:10" ht="37.5">
      <c r="A69" s="395"/>
      <c r="B69" s="395"/>
      <c r="C69" s="395"/>
      <c r="D69" s="390"/>
      <c r="E69" s="137" t="s">
        <v>319</v>
      </c>
      <c r="F69" s="134">
        <v>2020</v>
      </c>
      <c r="G69" s="134">
        <v>23771</v>
      </c>
      <c r="H69" s="134"/>
      <c r="I69" s="134">
        <v>23771</v>
      </c>
      <c r="J69" s="138">
        <v>100</v>
      </c>
    </row>
    <row r="70" spans="1:10" ht="44.25" customHeight="1">
      <c r="A70" s="395"/>
      <c r="B70" s="395"/>
      <c r="C70" s="395"/>
      <c r="D70" s="390"/>
      <c r="E70" s="137" t="s">
        <v>549</v>
      </c>
      <c r="F70" s="134">
        <v>2020</v>
      </c>
      <c r="G70" s="134">
        <v>299000</v>
      </c>
      <c r="H70" s="134"/>
      <c r="I70" s="134">
        <v>299000</v>
      </c>
      <c r="J70" s="138">
        <f>I70/G70*100</f>
        <v>100</v>
      </c>
    </row>
    <row r="71" spans="1:10" ht="23.25" customHeight="1">
      <c r="A71" s="395"/>
      <c r="B71" s="395"/>
      <c r="C71" s="395"/>
      <c r="D71" s="390"/>
      <c r="E71" s="137" t="s">
        <v>580</v>
      </c>
      <c r="F71" s="134">
        <v>2020</v>
      </c>
      <c r="G71" s="134">
        <v>200000</v>
      </c>
      <c r="H71" s="134"/>
      <c r="I71" s="134">
        <v>200000</v>
      </c>
      <c r="J71" s="138">
        <v>100</v>
      </c>
    </row>
    <row r="72" spans="1:10" ht="62.25" customHeight="1">
      <c r="A72" s="395"/>
      <c r="B72" s="395"/>
      <c r="C72" s="395"/>
      <c r="D72" s="390"/>
      <c r="E72" s="137" t="s">
        <v>550</v>
      </c>
      <c r="F72" s="134">
        <v>2020</v>
      </c>
      <c r="G72" s="134">
        <v>1176529</v>
      </c>
      <c r="H72" s="134"/>
      <c r="I72" s="134">
        <f>800000+373004</f>
        <v>1173004</v>
      </c>
      <c r="J72" s="138">
        <f>I72/G72*100</f>
        <v>99.70038987564267</v>
      </c>
    </row>
    <row r="73" spans="1:10" ht="37.5">
      <c r="A73" s="395"/>
      <c r="B73" s="395"/>
      <c r="C73" s="395"/>
      <c r="D73" s="390"/>
      <c r="E73" s="250" t="s">
        <v>589</v>
      </c>
      <c r="F73" s="134">
        <v>2020</v>
      </c>
      <c r="G73" s="134">
        <v>49932</v>
      </c>
      <c r="H73" s="134"/>
      <c r="I73" s="134">
        <v>49932</v>
      </c>
      <c r="J73" s="138">
        <f>I73/G73*100</f>
        <v>100</v>
      </c>
    </row>
    <row r="74" spans="1:10" ht="37.5">
      <c r="A74" s="395"/>
      <c r="B74" s="395"/>
      <c r="C74" s="395"/>
      <c r="D74" s="390"/>
      <c r="E74" s="250" t="s">
        <v>590</v>
      </c>
      <c r="F74" s="134">
        <v>2020</v>
      </c>
      <c r="G74" s="134">
        <v>34378</v>
      </c>
      <c r="H74" s="134"/>
      <c r="I74" s="134">
        <v>34378</v>
      </c>
      <c r="J74" s="138">
        <f>I74/G74*100</f>
        <v>100</v>
      </c>
    </row>
    <row r="75" spans="1:10" ht="37.5">
      <c r="A75" s="395"/>
      <c r="B75" s="395"/>
      <c r="C75" s="395"/>
      <c r="D75" s="390"/>
      <c r="E75" s="248" t="s">
        <v>588</v>
      </c>
      <c r="F75" s="134">
        <v>2020</v>
      </c>
      <c r="G75" s="134">
        <v>380986</v>
      </c>
      <c r="H75" s="134"/>
      <c r="I75" s="134">
        <v>380986</v>
      </c>
      <c r="J75" s="138">
        <f>I75/G75*100</f>
        <v>100</v>
      </c>
    </row>
    <row r="76" spans="1:10" ht="18.75">
      <c r="A76" s="395"/>
      <c r="B76" s="395"/>
      <c r="C76" s="395"/>
      <c r="D76" s="390"/>
      <c r="E76" s="137" t="s">
        <v>573</v>
      </c>
      <c r="F76" s="134">
        <v>2020</v>
      </c>
      <c r="G76" s="134">
        <f>136630+59031</f>
        <v>195661</v>
      </c>
      <c r="H76" s="134"/>
      <c r="I76" s="134">
        <f>136630+59031</f>
        <v>195661</v>
      </c>
      <c r="J76" s="138">
        <v>100</v>
      </c>
    </row>
    <row r="77" spans="1:10" ht="93.75">
      <c r="A77" s="395"/>
      <c r="B77" s="395"/>
      <c r="C77" s="395"/>
      <c r="D77" s="390"/>
      <c r="E77" s="249" t="s">
        <v>552</v>
      </c>
      <c r="F77" s="134" t="s">
        <v>289</v>
      </c>
      <c r="G77" s="134">
        <v>1197696</v>
      </c>
      <c r="H77" s="134">
        <v>6.4</v>
      </c>
      <c r="I77" s="134">
        <v>838662</v>
      </c>
      <c r="J77" s="138">
        <v>100</v>
      </c>
    </row>
    <row r="78" spans="1:10" ht="135.75" customHeight="1">
      <c r="A78" s="395"/>
      <c r="B78" s="395"/>
      <c r="C78" s="395"/>
      <c r="D78" s="390"/>
      <c r="E78" s="137" t="s">
        <v>553</v>
      </c>
      <c r="F78" s="134" t="s">
        <v>289</v>
      </c>
      <c r="G78" s="134">
        <v>1620083</v>
      </c>
      <c r="H78" s="134">
        <v>6.3</v>
      </c>
      <c r="I78" s="134">
        <v>1210824</v>
      </c>
      <c r="J78" s="138">
        <v>100</v>
      </c>
    </row>
    <row r="79" spans="1:10" ht="78" customHeight="1">
      <c r="A79" s="395"/>
      <c r="B79" s="395"/>
      <c r="C79" s="395"/>
      <c r="D79" s="390"/>
      <c r="E79" s="142" t="s">
        <v>591</v>
      </c>
      <c r="F79" s="134">
        <v>2020</v>
      </c>
      <c r="G79" s="134">
        <f>49185+4229</f>
        <v>53414</v>
      </c>
      <c r="H79" s="134"/>
      <c r="I79" s="134">
        <f>49185+4229</f>
        <v>53414</v>
      </c>
      <c r="J79" s="138">
        <f>I79/G79*100</f>
        <v>100</v>
      </c>
    </row>
    <row r="80" spans="1:10" ht="77.25" customHeight="1">
      <c r="A80" s="396"/>
      <c r="B80" s="396"/>
      <c r="C80" s="396"/>
      <c r="D80" s="391"/>
      <c r="E80" s="142" t="s">
        <v>412</v>
      </c>
      <c r="F80" s="134">
        <v>2020</v>
      </c>
      <c r="G80" s="134">
        <f>10096</f>
        <v>10096</v>
      </c>
      <c r="H80" s="134"/>
      <c r="I80" s="134">
        <f>10096</f>
        <v>10096</v>
      </c>
      <c r="J80" s="138">
        <f>I80/G80*100</f>
        <v>100</v>
      </c>
    </row>
    <row r="81" spans="1:10" ht="108.75" customHeight="1">
      <c r="A81" s="132" t="s">
        <v>781</v>
      </c>
      <c r="B81" s="132"/>
      <c r="C81" s="132"/>
      <c r="D81" s="133" t="s">
        <v>782</v>
      </c>
      <c r="E81" s="137"/>
      <c r="F81" s="134"/>
      <c r="G81" s="134"/>
      <c r="H81" s="134"/>
      <c r="I81" s="135">
        <f>I82</f>
        <v>57904</v>
      </c>
      <c r="J81" s="138"/>
    </row>
    <row r="82" spans="1:10" ht="83.25" customHeight="1">
      <c r="A82" s="132" t="s">
        <v>783</v>
      </c>
      <c r="B82" s="132"/>
      <c r="C82" s="132"/>
      <c r="D82" s="133" t="s">
        <v>782</v>
      </c>
      <c r="E82" s="137"/>
      <c r="F82" s="134"/>
      <c r="G82" s="134"/>
      <c r="H82" s="134"/>
      <c r="I82" s="135">
        <f>SUM(I83:I85)</f>
        <v>57904</v>
      </c>
      <c r="J82" s="138"/>
    </row>
    <row r="83" spans="1:10" ht="83.25" customHeight="1">
      <c r="A83" s="136" t="s">
        <v>596</v>
      </c>
      <c r="B83" s="136" t="s">
        <v>597</v>
      </c>
      <c r="C83" s="136" t="s">
        <v>718</v>
      </c>
      <c r="D83" s="139" t="s">
        <v>598</v>
      </c>
      <c r="E83" s="137" t="s">
        <v>601</v>
      </c>
      <c r="F83" s="134">
        <v>2020</v>
      </c>
      <c r="G83" s="134">
        <v>6444</v>
      </c>
      <c r="H83" s="134"/>
      <c r="I83" s="134">
        <v>6444</v>
      </c>
      <c r="J83" s="138">
        <v>100</v>
      </c>
    </row>
    <row r="84" spans="1:10" ht="55.5" customHeight="1">
      <c r="A84" s="425" t="s">
        <v>173</v>
      </c>
      <c r="B84" s="425" t="s">
        <v>41</v>
      </c>
      <c r="C84" s="425" t="s">
        <v>718</v>
      </c>
      <c r="D84" s="423" t="s">
        <v>122</v>
      </c>
      <c r="E84" s="137" t="s">
        <v>297</v>
      </c>
      <c r="F84" s="134">
        <v>2020</v>
      </c>
      <c r="G84" s="134">
        <v>27208</v>
      </c>
      <c r="H84" s="134"/>
      <c r="I84" s="134">
        <v>27208</v>
      </c>
      <c r="J84" s="138">
        <v>100</v>
      </c>
    </row>
    <row r="85" spans="1:10" ht="57.75" customHeight="1">
      <c r="A85" s="388"/>
      <c r="B85" s="388"/>
      <c r="C85" s="388"/>
      <c r="D85" s="391"/>
      <c r="E85" s="137" t="s">
        <v>298</v>
      </c>
      <c r="F85" s="134">
        <v>2020</v>
      </c>
      <c r="G85" s="134">
        <v>24252</v>
      </c>
      <c r="H85" s="134"/>
      <c r="I85" s="134">
        <v>24252</v>
      </c>
      <c r="J85" s="138">
        <v>100</v>
      </c>
    </row>
    <row r="86" spans="1:10" ht="48.75" customHeight="1">
      <c r="A86" s="147" t="s">
        <v>797</v>
      </c>
      <c r="B86" s="147"/>
      <c r="C86" s="147"/>
      <c r="D86" s="148" t="s">
        <v>798</v>
      </c>
      <c r="E86" s="137"/>
      <c r="F86" s="134"/>
      <c r="G86" s="134"/>
      <c r="H86" s="134"/>
      <c r="I86" s="135">
        <f>I87</f>
        <v>2287641</v>
      </c>
      <c r="J86" s="138"/>
    </row>
    <row r="87" spans="1:10" ht="53.25" customHeight="1">
      <c r="A87" s="147" t="s">
        <v>799</v>
      </c>
      <c r="B87" s="147"/>
      <c r="C87" s="147"/>
      <c r="D87" s="148" t="s">
        <v>798</v>
      </c>
      <c r="E87" s="137"/>
      <c r="F87" s="134"/>
      <c r="G87" s="134"/>
      <c r="H87" s="134"/>
      <c r="I87" s="135">
        <f>SUM(I88:I94)</f>
        <v>2287641</v>
      </c>
      <c r="J87" s="138"/>
    </row>
    <row r="88" spans="1:10" ht="55.5" customHeight="1">
      <c r="A88" s="426" t="s">
        <v>154</v>
      </c>
      <c r="B88" s="426" t="s">
        <v>155</v>
      </c>
      <c r="C88" s="426" t="s">
        <v>718</v>
      </c>
      <c r="D88" s="423" t="s">
        <v>156</v>
      </c>
      <c r="E88" s="137" t="s">
        <v>542</v>
      </c>
      <c r="F88" s="134">
        <v>2020</v>
      </c>
      <c r="G88" s="134">
        <v>297892</v>
      </c>
      <c r="H88" s="134"/>
      <c r="I88" s="134">
        <v>297892</v>
      </c>
      <c r="J88" s="138">
        <f>I88/G88*100</f>
        <v>100</v>
      </c>
    </row>
    <row r="89" spans="1:10" ht="103.5" customHeight="1">
      <c r="A89" s="430"/>
      <c r="B89" s="430"/>
      <c r="C89" s="430"/>
      <c r="D89" s="424"/>
      <c r="E89" s="137" t="s">
        <v>323</v>
      </c>
      <c r="F89" s="134">
        <v>2020</v>
      </c>
      <c r="G89" s="134">
        <v>49985</v>
      </c>
      <c r="H89" s="134"/>
      <c r="I89" s="134">
        <v>49985</v>
      </c>
      <c r="J89" s="138">
        <v>100</v>
      </c>
    </row>
    <row r="90" spans="1:10" ht="71.25" customHeight="1">
      <c r="A90" s="430"/>
      <c r="B90" s="430"/>
      <c r="C90" s="430"/>
      <c r="D90" s="424"/>
      <c r="E90" s="137" t="s">
        <v>322</v>
      </c>
      <c r="F90" s="134">
        <v>2020</v>
      </c>
      <c r="G90" s="134">
        <v>29171</v>
      </c>
      <c r="H90" s="134"/>
      <c r="I90" s="134">
        <v>29171</v>
      </c>
      <c r="J90" s="138">
        <v>100</v>
      </c>
    </row>
    <row r="91" spans="1:10" ht="71.25" customHeight="1">
      <c r="A91" s="430"/>
      <c r="B91" s="430"/>
      <c r="C91" s="430"/>
      <c r="D91" s="424"/>
      <c r="E91" s="137" t="s">
        <v>320</v>
      </c>
      <c r="F91" s="134">
        <v>2020</v>
      </c>
      <c r="G91" s="134">
        <v>47729</v>
      </c>
      <c r="H91" s="134"/>
      <c r="I91" s="134">
        <v>47729</v>
      </c>
      <c r="J91" s="138">
        <v>100</v>
      </c>
    </row>
    <row r="92" spans="1:10" ht="71.25" customHeight="1">
      <c r="A92" s="430"/>
      <c r="B92" s="430"/>
      <c r="C92" s="430"/>
      <c r="D92" s="424"/>
      <c r="E92" s="137" t="s">
        <v>321</v>
      </c>
      <c r="F92" s="134">
        <v>2020</v>
      </c>
      <c r="G92" s="134">
        <v>49221</v>
      </c>
      <c r="H92" s="134"/>
      <c r="I92" s="134">
        <v>49221</v>
      </c>
      <c r="J92" s="138">
        <v>100</v>
      </c>
    </row>
    <row r="93" spans="1:10" ht="42.75" customHeight="1">
      <c r="A93" s="396"/>
      <c r="B93" s="396"/>
      <c r="C93" s="396"/>
      <c r="D93" s="391"/>
      <c r="E93" s="137" t="s">
        <v>299</v>
      </c>
      <c r="F93" s="134">
        <v>2020</v>
      </c>
      <c r="G93" s="134">
        <v>1946994</v>
      </c>
      <c r="H93" s="134"/>
      <c r="I93" s="134">
        <f>600000+1013643</f>
        <v>1613643</v>
      </c>
      <c r="J93" s="138">
        <f>I93/G93*100</f>
        <v>82.87868375557397</v>
      </c>
    </row>
    <row r="94" spans="1:10" ht="72" customHeight="1">
      <c r="A94" s="136" t="s">
        <v>157</v>
      </c>
      <c r="B94" s="136" t="s">
        <v>158</v>
      </c>
      <c r="C94" s="149" t="s">
        <v>718</v>
      </c>
      <c r="D94" s="139" t="s">
        <v>159</v>
      </c>
      <c r="E94" s="137" t="s">
        <v>300</v>
      </c>
      <c r="F94" s="134">
        <v>2020</v>
      </c>
      <c r="G94" s="134">
        <v>200000</v>
      </c>
      <c r="H94" s="134"/>
      <c r="I94" s="134">
        <v>200000</v>
      </c>
      <c r="J94" s="138">
        <v>100</v>
      </c>
    </row>
    <row r="95" spans="1:10" ht="72" customHeight="1">
      <c r="A95" s="132" t="s">
        <v>825</v>
      </c>
      <c r="B95" s="237"/>
      <c r="C95" s="238"/>
      <c r="D95" s="133" t="s">
        <v>826</v>
      </c>
      <c r="E95" s="137"/>
      <c r="F95" s="134"/>
      <c r="G95" s="134"/>
      <c r="H95" s="134"/>
      <c r="I95" s="135">
        <f>I96</f>
        <v>1033556</v>
      </c>
      <c r="J95" s="138"/>
    </row>
    <row r="96" spans="1:10" ht="72" customHeight="1">
      <c r="A96" s="132" t="s">
        <v>827</v>
      </c>
      <c r="B96" s="132"/>
      <c r="C96" s="132"/>
      <c r="D96" s="133" t="s">
        <v>826</v>
      </c>
      <c r="E96" s="137"/>
      <c r="F96" s="134"/>
      <c r="G96" s="134"/>
      <c r="H96" s="134"/>
      <c r="I96" s="135">
        <f>SUM(I97:I99)</f>
        <v>1033556</v>
      </c>
      <c r="J96" s="138"/>
    </row>
    <row r="97" spans="1:10" ht="72" customHeight="1">
      <c r="A97" s="426" t="s">
        <v>131</v>
      </c>
      <c r="B97" s="426" t="s">
        <v>132</v>
      </c>
      <c r="C97" s="426" t="s">
        <v>718</v>
      </c>
      <c r="D97" s="431" t="s">
        <v>133</v>
      </c>
      <c r="E97" s="137" t="s">
        <v>543</v>
      </c>
      <c r="F97" s="134" t="s">
        <v>289</v>
      </c>
      <c r="G97" s="134">
        <v>723958</v>
      </c>
      <c r="H97" s="134">
        <v>19.6</v>
      </c>
      <c r="I97" s="134">
        <f>575498-105650-329090</f>
        <v>140758</v>
      </c>
      <c r="J97" s="138">
        <v>39</v>
      </c>
    </row>
    <row r="98" spans="1:10" ht="75" hidden="1">
      <c r="A98" s="437"/>
      <c r="B98" s="437"/>
      <c r="C98" s="437"/>
      <c r="D98" s="432"/>
      <c r="E98" s="137" t="s">
        <v>545</v>
      </c>
      <c r="F98" s="134">
        <v>2020</v>
      </c>
      <c r="G98" s="134">
        <v>50006</v>
      </c>
      <c r="H98" s="134"/>
      <c r="I98" s="134">
        <f>50006-50006</f>
        <v>0</v>
      </c>
      <c r="J98" s="138">
        <v>100</v>
      </c>
    </row>
    <row r="99" spans="1:10" ht="93" customHeight="1">
      <c r="A99" s="127" t="s">
        <v>123</v>
      </c>
      <c r="B99" s="127" t="s">
        <v>96</v>
      </c>
      <c r="C99" s="127" t="s">
        <v>719</v>
      </c>
      <c r="D99" s="128" t="s">
        <v>97</v>
      </c>
      <c r="E99" s="137" t="s">
        <v>544</v>
      </c>
      <c r="F99" s="134" t="s">
        <v>289</v>
      </c>
      <c r="G99" s="134">
        <v>14290566</v>
      </c>
      <c r="H99" s="134">
        <v>46.1</v>
      </c>
      <c r="I99" s="134">
        <v>892798</v>
      </c>
      <c r="J99" s="138">
        <v>100</v>
      </c>
    </row>
    <row r="100" spans="1:10" ht="56.25">
      <c r="A100" s="132" t="s">
        <v>14</v>
      </c>
      <c r="B100" s="132"/>
      <c r="C100" s="132"/>
      <c r="D100" s="150" t="s">
        <v>15</v>
      </c>
      <c r="E100" s="137"/>
      <c r="F100" s="134"/>
      <c r="G100" s="134"/>
      <c r="H100" s="134"/>
      <c r="I100" s="135">
        <f>I101</f>
        <v>22860</v>
      </c>
      <c r="J100" s="138"/>
    </row>
    <row r="101" spans="1:10" ht="56.25">
      <c r="A101" s="132" t="s">
        <v>16</v>
      </c>
      <c r="B101" s="132"/>
      <c r="C101" s="132"/>
      <c r="D101" s="150" t="s">
        <v>15</v>
      </c>
      <c r="E101" s="137"/>
      <c r="F101" s="134"/>
      <c r="G101" s="134"/>
      <c r="H101" s="134"/>
      <c r="I101" s="135">
        <f>SUM(I102:I102)</f>
        <v>22860</v>
      </c>
      <c r="J101" s="138"/>
    </row>
    <row r="102" spans="1:10" ht="64.5" customHeight="1">
      <c r="A102" s="136" t="s">
        <v>177</v>
      </c>
      <c r="B102" s="136" t="s">
        <v>132</v>
      </c>
      <c r="C102" s="136" t="s">
        <v>718</v>
      </c>
      <c r="D102" s="139" t="s">
        <v>133</v>
      </c>
      <c r="E102" s="137" t="s">
        <v>301</v>
      </c>
      <c r="F102" s="134" t="s">
        <v>302</v>
      </c>
      <c r="G102" s="134">
        <v>2866645</v>
      </c>
      <c r="H102" s="134">
        <v>99.2</v>
      </c>
      <c r="I102" s="134">
        <v>22860</v>
      </c>
      <c r="J102" s="138">
        <v>100</v>
      </c>
    </row>
    <row r="103" spans="1:10" ht="81.75" customHeight="1">
      <c r="A103" s="132" t="s">
        <v>33</v>
      </c>
      <c r="B103" s="127"/>
      <c r="C103" s="127"/>
      <c r="D103" s="133" t="s">
        <v>34</v>
      </c>
      <c r="E103" s="151"/>
      <c r="F103" s="152"/>
      <c r="G103" s="152"/>
      <c r="H103" s="152"/>
      <c r="I103" s="135">
        <f>I104</f>
        <v>4448602</v>
      </c>
      <c r="J103" s="152"/>
    </row>
    <row r="104" spans="1:10" ht="96" customHeight="1">
      <c r="A104" s="132" t="s">
        <v>35</v>
      </c>
      <c r="B104" s="127"/>
      <c r="C104" s="127"/>
      <c r="D104" s="133" t="s">
        <v>34</v>
      </c>
      <c r="E104" s="151"/>
      <c r="F104" s="152"/>
      <c r="G104" s="152"/>
      <c r="H104" s="152"/>
      <c r="I104" s="240">
        <f>SUM(I105:I132)</f>
        <v>4448602</v>
      </c>
      <c r="J104" s="152"/>
    </row>
    <row r="105" spans="1:10" ht="51.75" customHeight="1">
      <c r="A105" s="425" t="s">
        <v>85</v>
      </c>
      <c r="B105" s="425" t="s">
        <v>86</v>
      </c>
      <c r="C105" s="425" t="s">
        <v>718</v>
      </c>
      <c r="D105" s="423" t="s">
        <v>87</v>
      </c>
      <c r="E105" s="153" t="s">
        <v>305</v>
      </c>
      <c r="F105" s="154">
        <v>2020</v>
      </c>
      <c r="G105" s="155">
        <v>5414</v>
      </c>
      <c r="H105" s="156"/>
      <c r="I105" s="155">
        <v>5414</v>
      </c>
      <c r="J105" s="156">
        <v>100</v>
      </c>
    </row>
    <row r="106" spans="1:10" ht="52.5" customHeight="1">
      <c r="A106" s="393"/>
      <c r="B106" s="393"/>
      <c r="C106" s="393"/>
      <c r="D106" s="390"/>
      <c r="E106" s="153" t="s">
        <v>306</v>
      </c>
      <c r="F106" s="154">
        <v>2020</v>
      </c>
      <c r="G106" s="155">
        <v>5362</v>
      </c>
      <c r="H106" s="156"/>
      <c r="I106" s="155">
        <v>5362</v>
      </c>
      <c r="J106" s="156">
        <v>100</v>
      </c>
    </row>
    <row r="107" spans="1:10" ht="43.5" customHeight="1">
      <c r="A107" s="393"/>
      <c r="B107" s="393"/>
      <c r="C107" s="393"/>
      <c r="D107" s="390"/>
      <c r="E107" s="157" t="s">
        <v>307</v>
      </c>
      <c r="F107" s="154">
        <v>2020</v>
      </c>
      <c r="G107" s="155">
        <v>10194</v>
      </c>
      <c r="H107" s="156"/>
      <c r="I107" s="155">
        <v>10194</v>
      </c>
      <c r="J107" s="156">
        <v>100</v>
      </c>
    </row>
    <row r="108" spans="1:10" ht="48" customHeight="1">
      <c r="A108" s="393"/>
      <c r="B108" s="393"/>
      <c r="C108" s="393"/>
      <c r="D108" s="390"/>
      <c r="E108" s="157" t="s">
        <v>308</v>
      </c>
      <c r="F108" s="154">
        <v>2020</v>
      </c>
      <c r="G108" s="155">
        <v>20920</v>
      </c>
      <c r="H108" s="156"/>
      <c r="I108" s="155">
        <v>20920</v>
      </c>
      <c r="J108" s="156">
        <v>100</v>
      </c>
    </row>
    <row r="109" spans="1:10" ht="48" customHeight="1">
      <c r="A109" s="393"/>
      <c r="B109" s="393"/>
      <c r="C109" s="393"/>
      <c r="D109" s="390"/>
      <c r="E109" s="157" t="s">
        <v>309</v>
      </c>
      <c r="F109" s="154" t="s">
        <v>289</v>
      </c>
      <c r="G109" s="155">
        <v>533388</v>
      </c>
      <c r="H109" s="156">
        <v>54.1</v>
      </c>
      <c r="I109" s="158">
        <f>533388-299792-47980</f>
        <v>185616</v>
      </c>
      <c r="J109" s="156">
        <v>100</v>
      </c>
    </row>
    <row r="110" spans="1:10" ht="33.75" customHeight="1">
      <c r="A110" s="393"/>
      <c r="B110" s="393"/>
      <c r="C110" s="393"/>
      <c r="D110" s="390"/>
      <c r="E110" s="157" t="s">
        <v>310</v>
      </c>
      <c r="F110" s="154" t="s">
        <v>289</v>
      </c>
      <c r="G110" s="155">
        <v>533388</v>
      </c>
      <c r="H110" s="156">
        <v>79.9</v>
      </c>
      <c r="I110" s="158">
        <v>47980</v>
      </c>
      <c r="J110" s="156">
        <v>100</v>
      </c>
    </row>
    <row r="111" spans="1:10" ht="48" customHeight="1">
      <c r="A111" s="388"/>
      <c r="B111" s="388"/>
      <c r="C111" s="388"/>
      <c r="D111" s="391"/>
      <c r="E111" s="157" t="s">
        <v>311</v>
      </c>
      <c r="F111" s="154">
        <v>2020</v>
      </c>
      <c r="G111" s="155">
        <v>372400</v>
      </c>
      <c r="H111" s="156"/>
      <c r="I111" s="158">
        <f>50000-1188</f>
        <v>48812</v>
      </c>
      <c r="J111" s="156">
        <f>I111/G111*100</f>
        <v>13.107411385606873</v>
      </c>
    </row>
    <row r="112" spans="1:10" ht="37.5">
      <c r="A112" s="426" t="s">
        <v>40</v>
      </c>
      <c r="B112" s="426" t="s">
        <v>41</v>
      </c>
      <c r="C112" s="426" t="s">
        <v>718</v>
      </c>
      <c r="D112" s="423" t="s">
        <v>122</v>
      </c>
      <c r="E112" s="157" t="s">
        <v>567</v>
      </c>
      <c r="F112" s="154">
        <v>2020</v>
      </c>
      <c r="G112" s="155">
        <v>1450000</v>
      </c>
      <c r="H112" s="156"/>
      <c r="I112" s="155">
        <v>1450000</v>
      </c>
      <c r="J112" s="156">
        <v>100</v>
      </c>
    </row>
    <row r="113" spans="1:10" ht="79.5" customHeight="1">
      <c r="A113" s="433"/>
      <c r="B113" s="433"/>
      <c r="C113" s="433"/>
      <c r="D113" s="434"/>
      <c r="E113" s="157" t="s">
        <v>312</v>
      </c>
      <c r="F113" s="154">
        <v>2020</v>
      </c>
      <c r="G113" s="155">
        <v>377344</v>
      </c>
      <c r="H113" s="156"/>
      <c r="I113" s="155">
        <f>377344-26890</f>
        <v>350454</v>
      </c>
      <c r="J113" s="156">
        <f>I113/G113*100</f>
        <v>92.87387635685211</v>
      </c>
    </row>
    <row r="114" spans="1:10" ht="39.75" customHeight="1">
      <c r="A114" s="433"/>
      <c r="B114" s="433"/>
      <c r="C114" s="433"/>
      <c r="D114" s="434"/>
      <c r="E114" s="157" t="s">
        <v>370</v>
      </c>
      <c r="F114" s="154">
        <v>2020</v>
      </c>
      <c r="G114" s="155">
        <v>35459</v>
      </c>
      <c r="H114" s="156"/>
      <c r="I114" s="155">
        <v>35459</v>
      </c>
      <c r="J114" s="156">
        <v>100</v>
      </c>
    </row>
    <row r="115" spans="1:10" ht="37.5" customHeight="1">
      <c r="A115" s="433"/>
      <c r="B115" s="433"/>
      <c r="C115" s="433"/>
      <c r="D115" s="434"/>
      <c r="E115" s="157" t="s">
        <v>313</v>
      </c>
      <c r="F115" s="154">
        <v>2020</v>
      </c>
      <c r="G115" s="155">
        <v>82969</v>
      </c>
      <c r="H115" s="156"/>
      <c r="I115" s="155">
        <v>82969</v>
      </c>
      <c r="J115" s="156">
        <v>100</v>
      </c>
    </row>
    <row r="116" spans="1:10" ht="41.25" customHeight="1">
      <c r="A116" s="433"/>
      <c r="B116" s="433"/>
      <c r="C116" s="433"/>
      <c r="D116" s="434"/>
      <c r="E116" s="157" t="s">
        <v>314</v>
      </c>
      <c r="F116" s="154">
        <v>2020</v>
      </c>
      <c r="G116" s="155">
        <v>50723</v>
      </c>
      <c r="H116" s="156"/>
      <c r="I116" s="155">
        <v>50723</v>
      </c>
      <c r="J116" s="156">
        <v>100</v>
      </c>
    </row>
    <row r="117" spans="1:10" ht="41.25" customHeight="1">
      <c r="A117" s="433"/>
      <c r="B117" s="433"/>
      <c r="C117" s="433"/>
      <c r="D117" s="434"/>
      <c r="E117" s="157" t="s">
        <v>558</v>
      </c>
      <c r="F117" s="154">
        <v>2020</v>
      </c>
      <c r="G117" s="155">
        <v>49980</v>
      </c>
      <c r="H117" s="156"/>
      <c r="I117" s="155">
        <v>49980</v>
      </c>
      <c r="J117" s="156">
        <v>100</v>
      </c>
    </row>
    <row r="118" spans="1:10" ht="41.25" customHeight="1">
      <c r="A118" s="433"/>
      <c r="B118" s="433"/>
      <c r="C118" s="433"/>
      <c r="D118" s="434"/>
      <c r="E118" s="157" t="s">
        <v>559</v>
      </c>
      <c r="F118" s="154">
        <v>2020</v>
      </c>
      <c r="G118" s="155">
        <v>49992</v>
      </c>
      <c r="H118" s="156"/>
      <c r="I118" s="155">
        <v>49992</v>
      </c>
      <c r="J118" s="156">
        <v>100</v>
      </c>
    </row>
    <row r="119" spans="1:10" ht="43.5" customHeight="1">
      <c r="A119" s="433"/>
      <c r="B119" s="433"/>
      <c r="C119" s="433"/>
      <c r="D119" s="434"/>
      <c r="E119" s="157" t="s">
        <v>315</v>
      </c>
      <c r="F119" s="154">
        <v>2020</v>
      </c>
      <c r="G119" s="155">
        <v>92758</v>
      </c>
      <c r="H119" s="156"/>
      <c r="I119" s="155">
        <v>92758</v>
      </c>
      <c r="J119" s="156">
        <v>100</v>
      </c>
    </row>
    <row r="120" spans="1:10" ht="45.75" customHeight="1">
      <c r="A120" s="433"/>
      <c r="B120" s="433"/>
      <c r="C120" s="433"/>
      <c r="D120" s="434"/>
      <c r="E120" s="157" t="s">
        <v>343</v>
      </c>
      <c r="F120" s="154">
        <v>2020</v>
      </c>
      <c r="G120" s="155">
        <v>83846</v>
      </c>
      <c r="H120" s="156"/>
      <c r="I120" s="155">
        <v>83846</v>
      </c>
      <c r="J120" s="156">
        <v>100</v>
      </c>
    </row>
    <row r="121" spans="1:10" ht="44.25" customHeight="1">
      <c r="A121" s="433"/>
      <c r="B121" s="433"/>
      <c r="C121" s="433"/>
      <c r="D121" s="434"/>
      <c r="E121" s="157" t="s">
        <v>344</v>
      </c>
      <c r="F121" s="154">
        <v>2020</v>
      </c>
      <c r="G121" s="155">
        <v>59562</v>
      </c>
      <c r="H121" s="156"/>
      <c r="I121" s="155">
        <v>59562</v>
      </c>
      <c r="J121" s="156">
        <v>100</v>
      </c>
    </row>
    <row r="122" spans="1:10" ht="37.5">
      <c r="A122" s="435"/>
      <c r="B122" s="435"/>
      <c r="C122" s="435"/>
      <c r="D122" s="435"/>
      <c r="E122" s="157" t="s">
        <v>345</v>
      </c>
      <c r="F122" s="154">
        <v>2020</v>
      </c>
      <c r="G122" s="155">
        <v>101117</v>
      </c>
      <c r="H122" s="156"/>
      <c r="I122" s="155">
        <v>101117</v>
      </c>
      <c r="J122" s="156">
        <v>100</v>
      </c>
    </row>
    <row r="123" spans="1:10" ht="37.5">
      <c r="A123" s="435"/>
      <c r="B123" s="435"/>
      <c r="C123" s="435"/>
      <c r="D123" s="435"/>
      <c r="E123" s="157" t="s">
        <v>560</v>
      </c>
      <c r="F123" s="154">
        <v>2020</v>
      </c>
      <c r="G123" s="155">
        <v>49950</v>
      </c>
      <c r="H123" s="156"/>
      <c r="I123" s="155">
        <v>49950</v>
      </c>
      <c r="J123" s="156">
        <v>100</v>
      </c>
    </row>
    <row r="124" spans="1:10" ht="37.5">
      <c r="A124" s="435"/>
      <c r="B124" s="435"/>
      <c r="C124" s="435"/>
      <c r="D124" s="435"/>
      <c r="E124" s="157" t="s">
        <v>561</v>
      </c>
      <c r="F124" s="154">
        <v>2020</v>
      </c>
      <c r="G124" s="155">
        <v>35500</v>
      </c>
      <c r="H124" s="156"/>
      <c r="I124" s="155">
        <v>35500</v>
      </c>
      <c r="J124" s="156">
        <v>100</v>
      </c>
    </row>
    <row r="125" spans="1:10" ht="37.5">
      <c r="A125" s="435"/>
      <c r="B125" s="435"/>
      <c r="C125" s="435"/>
      <c r="D125" s="435"/>
      <c r="E125" s="157" t="s">
        <v>568</v>
      </c>
      <c r="F125" s="154">
        <v>2020</v>
      </c>
      <c r="G125" s="155">
        <v>49986</v>
      </c>
      <c r="H125" s="156"/>
      <c r="I125" s="155">
        <v>49986</v>
      </c>
      <c r="J125" s="156">
        <v>100</v>
      </c>
    </row>
    <row r="126" spans="1:10" ht="37.5">
      <c r="A126" s="435"/>
      <c r="B126" s="435"/>
      <c r="C126" s="435"/>
      <c r="D126" s="435"/>
      <c r="E126" s="157" t="s">
        <v>569</v>
      </c>
      <c r="F126" s="154">
        <v>2020</v>
      </c>
      <c r="G126" s="155">
        <v>49998</v>
      </c>
      <c r="H126" s="156"/>
      <c r="I126" s="155">
        <v>49998</v>
      </c>
      <c r="J126" s="156">
        <v>100</v>
      </c>
    </row>
    <row r="127" spans="1:10" ht="37.5">
      <c r="A127" s="435"/>
      <c r="B127" s="435"/>
      <c r="C127" s="435"/>
      <c r="D127" s="435"/>
      <c r="E127" s="157" t="s">
        <v>570</v>
      </c>
      <c r="F127" s="154">
        <v>2020</v>
      </c>
      <c r="G127" s="155">
        <v>49992</v>
      </c>
      <c r="H127" s="156"/>
      <c r="I127" s="155">
        <v>49992</v>
      </c>
      <c r="J127" s="156">
        <v>100</v>
      </c>
    </row>
    <row r="128" spans="1:10" ht="37.5">
      <c r="A128" s="435"/>
      <c r="B128" s="435"/>
      <c r="C128" s="435"/>
      <c r="D128" s="435"/>
      <c r="E128" s="153" t="s">
        <v>346</v>
      </c>
      <c r="F128" s="154">
        <v>2020</v>
      </c>
      <c r="G128" s="155">
        <v>196893</v>
      </c>
      <c r="H128" s="156"/>
      <c r="I128" s="155">
        <v>196893</v>
      </c>
      <c r="J128" s="156">
        <v>100</v>
      </c>
    </row>
    <row r="129" spans="1:10" ht="43.5" customHeight="1">
      <c r="A129" s="436"/>
      <c r="B129" s="436"/>
      <c r="C129" s="436"/>
      <c r="D129" s="436"/>
      <c r="E129" s="157" t="s">
        <v>347</v>
      </c>
      <c r="F129" s="154">
        <v>2020</v>
      </c>
      <c r="G129" s="155">
        <v>46925</v>
      </c>
      <c r="H129" s="156"/>
      <c r="I129" s="155">
        <v>46925</v>
      </c>
      <c r="J129" s="156">
        <v>100</v>
      </c>
    </row>
    <row r="130" spans="1:10" ht="45.75" customHeight="1">
      <c r="A130" s="426" t="s">
        <v>46</v>
      </c>
      <c r="B130" s="426" t="s">
        <v>721</v>
      </c>
      <c r="C130" s="426" t="s">
        <v>722</v>
      </c>
      <c r="D130" s="423" t="s">
        <v>723</v>
      </c>
      <c r="E130" s="157" t="s">
        <v>571</v>
      </c>
      <c r="F130" s="154">
        <v>2020</v>
      </c>
      <c r="G130" s="155">
        <v>690636</v>
      </c>
      <c r="H130" s="156"/>
      <c r="I130" s="155">
        <v>680710</v>
      </c>
      <c r="J130" s="156">
        <f>I130/G130*100</f>
        <v>98.5627740227848</v>
      </c>
    </row>
    <row r="131" spans="1:10" ht="45.75" customHeight="1">
      <c r="A131" s="430"/>
      <c r="B131" s="430"/>
      <c r="C131" s="430"/>
      <c r="D131" s="424"/>
      <c r="E131" s="157" t="s">
        <v>572</v>
      </c>
      <c r="F131" s="154">
        <v>2020</v>
      </c>
      <c r="G131" s="155">
        <v>519960</v>
      </c>
      <c r="H131" s="156"/>
      <c r="I131" s="155">
        <v>509092</v>
      </c>
      <c r="J131" s="156">
        <f>I131/G131*100</f>
        <v>97.90983921840142</v>
      </c>
    </row>
    <row r="132" spans="1:10" ht="57" customHeight="1">
      <c r="A132" s="438"/>
      <c r="B132" s="438"/>
      <c r="C132" s="438"/>
      <c r="D132" s="404"/>
      <c r="E132" s="157" t="s">
        <v>414</v>
      </c>
      <c r="F132" s="154">
        <v>2020</v>
      </c>
      <c r="G132" s="155">
        <f>48398</f>
        <v>48398</v>
      </c>
      <c r="H132" s="156"/>
      <c r="I132" s="155">
        <f>48398</f>
        <v>48398</v>
      </c>
      <c r="J132" s="156">
        <f>I132/G132*100</f>
        <v>100</v>
      </c>
    </row>
    <row r="133" spans="1:10" ht="18">
      <c r="A133" s="159" t="s">
        <v>184</v>
      </c>
      <c r="B133" s="159" t="s">
        <v>184</v>
      </c>
      <c r="C133" s="159" t="s">
        <v>184</v>
      </c>
      <c r="D133" s="159" t="s">
        <v>642</v>
      </c>
      <c r="E133" s="159" t="s">
        <v>184</v>
      </c>
      <c r="F133" s="159" t="s">
        <v>184</v>
      </c>
      <c r="G133" s="159" t="s">
        <v>184</v>
      </c>
      <c r="H133" s="159"/>
      <c r="I133" s="159">
        <f>I20+I57+I81+I86+I95+I100+I103</f>
        <v>26620092</v>
      </c>
      <c r="J133" s="159" t="s">
        <v>184</v>
      </c>
    </row>
    <row r="137" spans="2:10" ht="18.75">
      <c r="B137" s="27"/>
      <c r="C137" s="27"/>
      <c r="D137" s="27"/>
      <c r="E137" s="28"/>
      <c r="F137" s="28"/>
      <c r="G137" s="28"/>
      <c r="H137" s="28"/>
      <c r="I137" s="27"/>
      <c r="J137" s="28"/>
    </row>
    <row r="140" ht="12.75">
      <c r="I140" s="160"/>
    </row>
  </sheetData>
  <sheetProtection/>
  <mergeCells count="59">
    <mergeCell ref="D122:D129"/>
    <mergeCell ref="A130:A132"/>
    <mergeCell ref="B130:B132"/>
    <mergeCell ref="C130:C132"/>
    <mergeCell ref="D130:D132"/>
    <mergeCell ref="C122:C129"/>
    <mergeCell ref="A97:A98"/>
    <mergeCell ref="B97:B98"/>
    <mergeCell ref="C97:C98"/>
    <mergeCell ref="A122:A129"/>
    <mergeCell ref="B122:B129"/>
    <mergeCell ref="A112:A121"/>
    <mergeCell ref="B112:B121"/>
    <mergeCell ref="C112:C121"/>
    <mergeCell ref="D112:D121"/>
    <mergeCell ref="A105:A111"/>
    <mergeCell ref="D88:D93"/>
    <mergeCell ref="D97:D98"/>
    <mergeCell ref="C105:C111"/>
    <mergeCell ref="B105:B111"/>
    <mergeCell ref="D105:D111"/>
    <mergeCell ref="C88:C93"/>
    <mergeCell ref="A88:A93"/>
    <mergeCell ref="C28:C36"/>
    <mergeCell ref="A59:A80"/>
    <mergeCell ref="B59:B80"/>
    <mergeCell ref="C59:C80"/>
    <mergeCell ref="B88:B93"/>
    <mergeCell ref="A9:J10"/>
    <mergeCell ref="A14:A18"/>
    <mergeCell ref="B14:B18"/>
    <mergeCell ref="C14:C18"/>
    <mergeCell ref="D14:D18"/>
    <mergeCell ref="J14:J18"/>
    <mergeCell ref="I14:I18"/>
    <mergeCell ref="H14:H18"/>
    <mergeCell ref="G14:G18"/>
    <mergeCell ref="E14:E18"/>
    <mergeCell ref="A84:A85"/>
    <mergeCell ref="C38:C47"/>
    <mergeCell ref="A28:A36"/>
    <mergeCell ref="F14:F18"/>
    <mergeCell ref="D22:D27"/>
    <mergeCell ref="A38:A47"/>
    <mergeCell ref="B38:B47"/>
    <mergeCell ref="B22:B27"/>
    <mergeCell ref="C22:C27"/>
    <mergeCell ref="A50:A55"/>
    <mergeCell ref="B28:B36"/>
    <mergeCell ref="A22:A27"/>
    <mergeCell ref="D84:D85"/>
    <mergeCell ref="D28:D36"/>
    <mergeCell ref="D38:D47"/>
    <mergeCell ref="B50:B55"/>
    <mergeCell ref="C50:C55"/>
    <mergeCell ref="D50:D55"/>
    <mergeCell ref="C84:C85"/>
    <mergeCell ref="D59:D80"/>
    <mergeCell ref="B84:B85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="75" zoomScaleNormal="75" zoomScalePageLayoutView="0" workbookViewId="0" topLeftCell="A1">
      <pane xSplit="6" ySplit="20" topLeftCell="G7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8" sqref="I8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91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ht="15.75">
      <c r="I1" s="19" t="s">
        <v>332</v>
      </c>
    </row>
    <row r="2" ht="15.75">
      <c r="I2" s="19" t="s">
        <v>119</v>
      </c>
    </row>
    <row r="3" ht="15.75">
      <c r="I3" s="19" t="s">
        <v>341</v>
      </c>
    </row>
    <row r="4" spans="9:10" ht="18.75">
      <c r="I4" s="27" t="s">
        <v>520</v>
      </c>
      <c r="J4" s="8"/>
    </row>
    <row r="5" spans="9:11" ht="18.75">
      <c r="I5" s="40" t="s">
        <v>333</v>
      </c>
      <c r="J5" s="92"/>
      <c r="K5"/>
    </row>
    <row r="6" spans="9:11" ht="18.75">
      <c r="I6" s="27" t="s">
        <v>338</v>
      </c>
      <c r="J6" s="8"/>
      <c r="K6"/>
    </row>
    <row r="7" spans="9:11" ht="18.75">
      <c r="I7" s="27" t="s">
        <v>335</v>
      </c>
      <c r="J7" s="8"/>
      <c r="K7"/>
    </row>
    <row r="8" spans="9:10" ht="15.75">
      <c r="I8"/>
      <c r="J8"/>
    </row>
    <row r="9" spans="1:10" ht="20.25">
      <c r="A9" s="474" t="s">
        <v>185</v>
      </c>
      <c r="B9" s="474"/>
      <c r="C9" s="474"/>
      <c r="D9" s="474"/>
      <c r="E9" s="474"/>
      <c r="F9" s="474"/>
      <c r="G9" s="474"/>
      <c r="H9" s="474"/>
      <c r="I9" s="474"/>
      <c r="J9" s="474"/>
    </row>
    <row r="10" ht="15.75">
      <c r="A10" s="91">
        <v>21528000000</v>
      </c>
    </row>
    <row r="11" ht="15.75">
      <c r="A11" s="93" t="s">
        <v>644</v>
      </c>
    </row>
    <row r="12" ht="15.75">
      <c r="J12" s="91" t="s">
        <v>624</v>
      </c>
    </row>
    <row r="13" spans="1:10" s="95" customFormat="1" ht="41.25" customHeight="1">
      <c r="A13" s="458" t="s">
        <v>646</v>
      </c>
      <c r="B13" s="458" t="s">
        <v>647</v>
      </c>
      <c r="C13" s="458" t="s">
        <v>635</v>
      </c>
      <c r="D13" s="458" t="s">
        <v>186</v>
      </c>
      <c r="E13" s="458" t="s">
        <v>187</v>
      </c>
      <c r="F13" s="458" t="s">
        <v>188</v>
      </c>
      <c r="G13" s="458" t="s">
        <v>626</v>
      </c>
      <c r="H13" s="458" t="s">
        <v>627</v>
      </c>
      <c r="I13" s="458" t="s">
        <v>628</v>
      </c>
      <c r="J13" s="458"/>
    </row>
    <row r="14" spans="1:10" s="95" customFormat="1" ht="9.75" customHeight="1" hidden="1">
      <c r="A14" s="458"/>
      <c r="B14" s="458"/>
      <c r="C14" s="458"/>
      <c r="D14" s="458"/>
      <c r="E14" s="458"/>
      <c r="F14" s="458"/>
      <c r="G14" s="458"/>
      <c r="H14" s="458"/>
      <c r="I14" s="458"/>
      <c r="J14" s="458"/>
    </row>
    <row r="15" spans="1:10" s="95" customFormat="1" ht="15.75" hidden="1">
      <c r="A15" s="458"/>
      <c r="B15" s="458"/>
      <c r="C15" s="458"/>
      <c r="D15" s="458"/>
      <c r="E15" s="458"/>
      <c r="F15" s="458"/>
      <c r="G15" s="458"/>
      <c r="H15" s="458"/>
      <c r="I15" s="458"/>
      <c r="J15" s="458"/>
    </row>
    <row r="16" spans="1:10" s="95" customFormat="1" ht="9.75" customHeight="1" hidden="1">
      <c r="A16" s="458"/>
      <c r="B16" s="458"/>
      <c r="C16" s="458"/>
      <c r="D16" s="458"/>
      <c r="E16" s="458"/>
      <c r="F16" s="458"/>
      <c r="G16" s="458"/>
      <c r="H16" s="458"/>
      <c r="I16" s="458"/>
      <c r="J16" s="458"/>
    </row>
    <row r="17" spans="1:10" s="95" customFormat="1" ht="15.75" hidden="1">
      <c r="A17" s="458"/>
      <c r="B17" s="458"/>
      <c r="C17" s="458"/>
      <c r="D17" s="458"/>
      <c r="E17" s="458"/>
      <c r="F17" s="458"/>
      <c r="G17" s="458"/>
      <c r="H17" s="458"/>
      <c r="I17" s="458"/>
      <c r="J17" s="458"/>
    </row>
    <row r="18" spans="1:10" s="95" customFormat="1" ht="51" customHeight="1">
      <c r="A18" s="458"/>
      <c r="B18" s="458"/>
      <c r="C18" s="458"/>
      <c r="D18" s="458"/>
      <c r="E18" s="458"/>
      <c r="F18" s="458"/>
      <c r="G18" s="458"/>
      <c r="H18" s="458"/>
      <c r="I18" s="458" t="s">
        <v>629</v>
      </c>
      <c r="J18" s="458" t="s">
        <v>630</v>
      </c>
    </row>
    <row r="19" spans="1:10" s="95" customFormat="1" ht="99.75" customHeight="1">
      <c r="A19" s="458"/>
      <c r="B19" s="458"/>
      <c r="C19" s="458"/>
      <c r="D19" s="458"/>
      <c r="E19" s="458"/>
      <c r="F19" s="458"/>
      <c r="G19" s="458"/>
      <c r="H19" s="458"/>
      <c r="I19" s="458"/>
      <c r="J19" s="458"/>
    </row>
    <row r="20" spans="1:10" ht="15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</row>
    <row r="21" spans="1:10" ht="15.75">
      <c r="A21" s="96" t="s">
        <v>649</v>
      </c>
      <c r="B21" s="96"/>
      <c r="C21" s="96"/>
      <c r="D21" s="97" t="s">
        <v>650</v>
      </c>
      <c r="E21" s="23"/>
      <c r="F21" s="23"/>
      <c r="G21" s="33">
        <f>G22</f>
        <v>123455656</v>
      </c>
      <c r="H21" s="33">
        <f>H22</f>
        <v>93004944</v>
      </c>
      <c r="I21" s="33">
        <f>I22</f>
        <v>30450712</v>
      </c>
      <c r="J21" s="33">
        <f>J22</f>
        <v>29468754</v>
      </c>
    </row>
    <row r="22" spans="1:10" ht="15.75">
      <c r="A22" s="96" t="s">
        <v>651</v>
      </c>
      <c r="B22" s="96"/>
      <c r="C22" s="96"/>
      <c r="D22" s="97" t="s">
        <v>650</v>
      </c>
      <c r="E22" s="23"/>
      <c r="F22" s="23"/>
      <c r="G22" s="33">
        <f>SUM(G23:G73)</f>
        <v>123455656</v>
      </c>
      <c r="H22" s="33">
        <f>SUM(H23:H73)</f>
        <v>93004944</v>
      </c>
      <c r="I22" s="33">
        <f>SUM(I23:I73)</f>
        <v>30450712</v>
      </c>
      <c r="J22" s="33">
        <f>SUM(J23:J73)</f>
        <v>29468754</v>
      </c>
    </row>
    <row r="23" spans="1:10" ht="97.5" customHeight="1">
      <c r="A23" s="441" t="s">
        <v>652</v>
      </c>
      <c r="B23" s="441" t="s">
        <v>653</v>
      </c>
      <c r="C23" s="441" t="s">
        <v>654</v>
      </c>
      <c r="D23" s="442" t="s">
        <v>655</v>
      </c>
      <c r="E23" s="99" t="s">
        <v>189</v>
      </c>
      <c r="F23" s="94" t="s">
        <v>360</v>
      </c>
      <c r="G23" s="31">
        <f>H23+I23</f>
        <v>941468</v>
      </c>
      <c r="H23" s="31">
        <f>198326+201505+71594+62000+99942+27791+49900</f>
        <v>711058</v>
      </c>
      <c r="I23" s="31">
        <f>J23</f>
        <v>230410</v>
      </c>
      <c r="J23" s="31">
        <f>180650+9760+40000</f>
        <v>230410</v>
      </c>
    </row>
    <row r="24" spans="1:10" ht="99.75" customHeight="1">
      <c r="A24" s="396"/>
      <c r="B24" s="396"/>
      <c r="C24" s="396"/>
      <c r="D24" s="443"/>
      <c r="E24" s="99" t="s">
        <v>564</v>
      </c>
      <c r="F24" s="94" t="s">
        <v>565</v>
      </c>
      <c r="G24" s="31">
        <f>H24+I24</f>
        <v>49315</v>
      </c>
      <c r="H24" s="31">
        <v>49315</v>
      </c>
      <c r="I24" s="31"/>
      <c r="J24" s="31"/>
    </row>
    <row r="25" spans="1:10" ht="78.75">
      <c r="A25" s="98" t="s">
        <v>659</v>
      </c>
      <c r="B25" s="100" t="s">
        <v>660</v>
      </c>
      <c r="C25" s="101" t="s">
        <v>661</v>
      </c>
      <c r="D25" s="99" t="s">
        <v>190</v>
      </c>
      <c r="E25" s="102" t="s">
        <v>191</v>
      </c>
      <c r="F25" s="94" t="s">
        <v>192</v>
      </c>
      <c r="G25" s="31">
        <f>H25+I25</f>
        <v>833511</v>
      </c>
      <c r="H25" s="31">
        <f>759115+18396</f>
        <v>777511</v>
      </c>
      <c r="I25" s="31">
        <v>56000</v>
      </c>
      <c r="J25" s="31"/>
    </row>
    <row r="26" spans="1:10" ht="111.75" customHeight="1">
      <c r="A26" s="449" t="s">
        <v>664</v>
      </c>
      <c r="B26" s="465" t="s">
        <v>665</v>
      </c>
      <c r="C26" s="449" t="s">
        <v>666</v>
      </c>
      <c r="D26" s="445" t="s">
        <v>667</v>
      </c>
      <c r="E26" s="103" t="s">
        <v>193</v>
      </c>
      <c r="F26" s="104" t="s">
        <v>194</v>
      </c>
      <c r="G26" s="31">
        <f>H26+I26</f>
        <v>7319692</v>
      </c>
      <c r="H26" s="32">
        <f>5556832+183938+400000+654823-270000-73301</f>
        <v>6452292</v>
      </c>
      <c r="I26" s="31">
        <f>J26</f>
        <v>867400</v>
      </c>
      <c r="J26" s="31">
        <f>767500+99900+945200-945200</f>
        <v>867400</v>
      </c>
    </row>
    <row r="27" spans="1:10" ht="96" customHeight="1">
      <c r="A27" s="449"/>
      <c r="B27" s="465"/>
      <c r="C27" s="449"/>
      <c r="D27" s="445"/>
      <c r="E27" s="103" t="s">
        <v>195</v>
      </c>
      <c r="F27" s="94" t="s">
        <v>348</v>
      </c>
      <c r="G27" s="31">
        <f>H27+I27</f>
        <v>15539397</v>
      </c>
      <c r="H27" s="32">
        <f>4432232+1098750+135494+750000+137200+169202+71920+750000+20110+650000+270000+73301+184887+200000+195908+58000+72630+32030+68020-6999-100000+85028+25600+37584+204850</f>
        <v>9615747</v>
      </c>
      <c r="I27" s="31">
        <f>J27</f>
        <v>5923650</v>
      </c>
      <c r="J27" s="31">
        <f>4727000+211500+315000+375000+295150</f>
        <v>5923650</v>
      </c>
    </row>
    <row r="28" spans="1:10" ht="96" customHeight="1">
      <c r="A28" s="98" t="s">
        <v>676</v>
      </c>
      <c r="B28" s="98" t="s">
        <v>677</v>
      </c>
      <c r="C28" s="98" t="s">
        <v>678</v>
      </c>
      <c r="D28" s="102" t="s">
        <v>328</v>
      </c>
      <c r="E28" s="103" t="s">
        <v>196</v>
      </c>
      <c r="F28" s="94" t="s">
        <v>349</v>
      </c>
      <c r="G28" s="31">
        <f aca="true" t="shared" si="0" ref="G28:G73">H28+I28</f>
        <v>1153863</v>
      </c>
      <c r="H28" s="32">
        <f>820783+58061+100000+22500+49999+34520</f>
        <v>1085863</v>
      </c>
      <c r="I28" s="31">
        <f>J28</f>
        <v>68000</v>
      </c>
      <c r="J28" s="31">
        <f>48000+20000</f>
        <v>68000</v>
      </c>
    </row>
    <row r="29" spans="1:10" ht="94.5">
      <c r="A29" s="439" t="s">
        <v>672</v>
      </c>
      <c r="B29" s="448">
        <v>2152</v>
      </c>
      <c r="C29" s="439" t="s">
        <v>674</v>
      </c>
      <c r="D29" s="445" t="s">
        <v>675</v>
      </c>
      <c r="E29" s="103" t="s">
        <v>197</v>
      </c>
      <c r="F29" s="104" t="s">
        <v>198</v>
      </c>
      <c r="G29" s="31">
        <f t="shared" si="0"/>
        <v>199000</v>
      </c>
      <c r="H29" s="31">
        <v>199000</v>
      </c>
      <c r="I29" s="31"/>
      <c r="J29" s="31"/>
    </row>
    <row r="30" spans="1:10" ht="78.75">
      <c r="A30" s="439"/>
      <c r="B30" s="448"/>
      <c r="C30" s="439"/>
      <c r="D30" s="445"/>
      <c r="E30" s="103" t="s">
        <v>372</v>
      </c>
      <c r="F30" s="104" t="s">
        <v>199</v>
      </c>
      <c r="G30" s="31">
        <f>H30+I30</f>
        <v>343653</v>
      </c>
      <c r="H30" s="31">
        <f>80000+221814+41839</f>
        <v>343653</v>
      </c>
      <c r="I30" s="31"/>
      <c r="J30" s="31"/>
    </row>
    <row r="31" spans="1:10" ht="94.5">
      <c r="A31" s="439"/>
      <c r="B31" s="448"/>
      <c r="C31" s="439"/>
      <c r="D31" s="445"/>
      <c r="E31" s="103" t="s">
        <v>366</v>
      </c>
      <c r="F31" s="104" t="s">
        <v>200</v>
      </c>
      <c r="G31" s="31">
        <f>H31+I31</f>
        <v>284000</v>
      </c>
      <c r="H31" s="31">
        <f>100000+84000+100000</f>
        <v>284000</v>
      </c>
      <c r="I31" s="31"/>
      <c r="J31" s="31"/>
    </row>
    <row r="32" spans="1:10" ht="99" customHeight="1">
      <c r="A32" s="439"/>
      <c r="B32" s="448"/>
      <c r="C32" s="444"/>
      <c r="D32" s="446"/>
      <c r="E32" s="103" t="s">
        <v>201</v>
      </c>
      <c r="F32" s="94" t="s">
        <v>350</v>
      </c>
      <c r="G32" s="31">
        <f t="shared" si="0"/>
        <v>4243412</v>
      </c>
      <c r="H32" s="31">
        <f>4654600-476620+100000+230000-100000-431568+267000</f>
        <v>4243412</v>
      </c>
      <c r="I32" s="31"/>
      <c r="J32" s="31"/>
    </row>
    <row r="33" spans="1:10" ht="98.25" customHeight="1">
      <c r="A33" s="439"/>
      <c r="B33" s="448"/>
      <c r="C33" s="444"/>
      <c r="D33" s="446"/>
      <c r="E33" s="103" t="s">
        <v>196</v>
      </c>
      <c r="F33" s="94" t="s">
        <v>349</v>
      </c>
      <c r="G33" s="31">
        <f t="shared" si="0"/>
        <v>1119537</v>
      </c>
      <c r="H33" s="31">
        <f>106039+600000+100000+132829+180669</f>
        <v>1119537</v>
      </c>
      <c r="I33" s="31"/>
      <c r="J33" s="31"/>
    </row>
    <row r="34" spans="1:10" ht="106.5" customHeight="1">
      <c r="A34" s="439"/>
      <c r="B34" s="448"/>
      <c r="C34" s="444"/>
      <c r="D34" s="446"/>
      <c r="E34" s="103" t="s">
        <v>202</v>
      </c>
      <c r="F34" s="104" t="s">
        <v>203</v>
      </c>
      <c r="G34" s="31">
        <f t="shared" si="0"/>
        <v>1578500</v>
      </c>
      <c r="H34" s="31">
        <f>1356000+122500+100000</f>
        <v>1578500</v>
      </c>
      <c r="I34" s="31"/>
      <c r="J34" s="31"/>
    </row>
    <row r="35" spans="1:10" ht="91.5" customHeight="1">
      <c r="A35" s="98" t="s">
        <v>682</v>
      </c>
      <c r="B35" s="106">
        <v>3112</v>
      </c>
      <c r="C35" s="101" t="s">
        <v>684</v>
      </c>
      <c r="D35" s="102" t="s">
        <v>685</v>
      </c>
      <c r="E35" s="107" t="s">
        <v>204</v>
      </c>
      <c r="F35" s="94" t="s">
        <v>205</v>
      </c>
      <c r="G35" s="31">
        <f t="shared" si="0"/>
        <v>5000</v>
      </c>
      <c r="H35" s="31">
        <v>5000</v>
      </c>
      <c r="I35" s="31"/>
      <c r="J35" s="31"/>
    </row>
    <row r="36" spans="1:10" ht="94.5">
      <c r="A36" s="98" t="s">
        <v>686</v>
      </c>
      <c r="B36" s="98" t="s">
        <v>687</v>
      </c>
      <c r="C36" s="98" t="s">
        <v>688</v>
      </c>
      <c r="D36" s="102" t="s">
        <v>689</v>
      </c>
      <c r="E36" s="103" t="s">
        <v>197</v>
      </c>
      <c r="F36" s="104" t="s">
        <v>198</v>
      </c>
      <c r="G36" s="31">
        <f t="shared" si="0"/>
        <v>126000</v>
      </c>
      <c r="H36" s="31">
        <f>94000+32000</f>
        <v>126000</v>
      </c>
      <c r="I36" s="31"/>
      <c r="J36" s="31"/>
    </row>
    <row r="37" spans="1:10" ht="78.75">
      <c r="A37" s="98" t="s">
        <v>162</v>
      </c>
      <c r="B37" s="98" t="s">
        <v>151</v>
      </c>
      <c r="C37" s="98" t="s">
        <v>152</v>
      </c>
      <c r="D37" s="102" t="s">
        <v>153</v>
      </c>
      <c r="E37" s="108" t="s">
        <v>373</v>
      </c>
      <c r="F37" s="104" t="s">
        <v>351</v>
      </c>
      <c r="G37" s="31">
        <f>H37+I37</f>
        <v>112368</v>
      </c>
      <c r="H37" s="31">
        <f>89320+23048</f>
        <v>112368</v>
      </c>
      <c r="I37" s="31"/>
      <c r="J37" s="31"/>
    </row>
    <row r="38" spans="1:10" ht="94.5">
      <c r="A38" s="98" t="s">
        <v>690</v>
      </c>
      <c r="B38" s="98" t="s">
        <v>691</v>
      </c>
      <c r="C38" s="98" t="s">
        <v>692</v>
      </c>
      <c r="D38" s="102" t="s">
        <v>206</v>
      </c>
      <c r="E38" s="103" t="s">
        <v>197</v>
      </c>
      <c r="F38" s="104" t="s">
        <v>198</v>
      </c>
      <c r="G38" s="31">
        <f t="shared" si="0"/>
        <v>1038000</v>
      </c>
      <c r="H38" s="31">
        <f>800000+238000</f>
        <v>1038000</v>
      </c>
      <c r="I38" s="31"/>
      <c r="J38" s="31"/>
    </row>
    <row r="39" spans="1:10" ht="100.5" customHeight="1">
      <c r="A39" s="98" t="s">
        <v>694</v>
      </c>
      <c r="B39" s="98" t="s">
        <v>695</v>
      </c>
      <c r="C39" s="98" t="s">
        <v>696</v>
      </c>
      <c r="D39" s="102" t="s">
        <v>697</v>
      </c>
      <c r="E39" s="99" t="s">
        <v>207</v>
      </c>
      <c r="F39" s="104" t="s">
        <v>208</v>
      </c>
      <c r="G39" s="31">
        <f>H39+I39</f>
        <v>1769277</v>
      </c>
      <c r="H39" s="31">
        <f>253522+50000+500000+500000+465755</f>
        <v>1769277</v>
      </c>
      <c r="I39" s="31"/>
      <c r="J39" s="31"/>
    </row>
    <row r="40" spans="1:10" ht="94.5">
      <c r="A40" s="98" t="s">
        <v>698</v>
      </c>
      <c r="B40" s="98" t="s">
        <v>699</v>
      </c>
      <c r="C40" s="98" t="s">
        <v>696</v>
      </c>
      <c r="D40" s="102" t="s">
        <v>700</v>
      </c>
      <c r="E40" s="99" t="s">
        <v>207</v>
      </c>
      <c r="F40" s="104" t="s">
        <v>208</v>
      </c>
      <c r="G40" s="31">
        <f t="shared" si="0"/>
        <v>1747610</v>
      </c>
      <c r="H40" s="31">
        <f>1184800+500000-136100+198910</f>
        <v>1747610</v>
      </c>
      <c r="I40" s="31"/>
      <c r="J40" s="31"/>
    </row>
    <row r="41" spans="1:10" ht="109.5" customHeight="1">
      <c r="A41" s="98" t="s">
        <v>701</v>
      </c>
      <c r="B41" s="98" t="s">
        <v>702</v>
      </c>
      <c r="C41" s="98" t="s">
        <v>696</v>
      </c>
      <c r="D41" s="102" t="s">
        <v>209</v>
      </c>
      <c r="E41" s="107" t="s">
        <v>210</v>
      </c>
      <c r="F41" s="109" t="s">
        <v>211</v>
      </c>
      <c r="G41" s="31">
        <f t="shared" si="0"/>
        <v>4600000</v>
      </c>
      <c r="H41" s="31">
        <f>2000000+1000000+1000000+600000</f>
        <v>4600000</v>
      </c>
      <c r="I41" s="31"/>
      <c r="J41" s="31"/>
    </row>
    <row r="42" spans="1:10" ht="102" customHeight="1">
      <c r="A42" s="98" t="s">
        <v>704</v>
      </c>
      <c r="B42" s="98" t="s">
        <v>705</v>
      </c>
      <c r="C42" s="98" t="s">
        <v>696</v>
      </c>
      <c r="D42" s="102" t="s">
        <v>706</v>
      </c>
      <c r="E42" s="99" t="s">
        <v>207</v>
      </c>
      <c r="F42" s="104" t="s">
        <v>208</v>
      </c>
      <c r="G42" s="31">
        <f t="shared" si="0"/>
        <v>1713145</v>
      </c>
      <c r="H42" s="31">
        <f>300000+400000+473268+100000+200000+200000+39877</f>
        <v>1713145</v>
      </c>
      <c r="I42" s="31"/>
      <c r="J42" s="31"/>
    </row>
    <row r="43" spans="1:10" ht="103.5" customHeight="1">
      <c r="A43" s="98" t="s">
        <v>707</v>
      </c>
      <c r="B43" s="101" t="s">
        <v>708</v>
      </c>
      <c r="C43" s="101" t="s">
        <v>696</v>
      </c>
      <c r="D43" s="102" t="s">
        <v>709</v>
      </c>
      <c r="E43" s="107" t="s">
        <v>210</v>
      </c>
      <c r="F43" s="109" t="s">
        <v>211</v>
      </c>
      <c r="G43" s="31">
        <f t="shared" si="0"/>
        <v>32456396</v>
      </c>
      <c r="H43" s="31">
        <f>31117320+113068+74521+500000+300000+23268+38838+100000+50000+93687+45694</f>
        <v>32456396</v>
      </c>
      <c r="I43" s="31"/>
      <c r="J43" s="31"/>
    </row>
    <row r="44" spans="1:10" ht="103.5" customHeight="1">
      <c r="A44" s="98" t="s">
        <v>170</v>
      </c>
      <c r="B44" s="98" t="s">
        <v>171</v>
      </c>
      <c r="C44" s="98" t="s">
        <v>710</v>
      </c>
      <c r="D44" s="124" t="s">
        <v>172</v>
      </c>
      <c r="E44" s="99" t="s">
        <v>207</v>
      </c>
      <c r="F44" s="104" t="s">
        <v>208</v>
      </c>
      <c r="G44" s="31">
        <f t="shared" si="0"/>
        <v>2636676</v>
      </c>
      <c r="H44" s="31">
        <f>1030968+805708+400000+400000</f>
        <v>2636676</v>
      </c>
      <c r="I44" s="31"/>
      <c r="J44" s="31"/>
    </row>
    <row r="45" spans="1:10" ht="93.75" customHeight="1">
      <c r="A45" s="439" t="s">
        <v>711</v>
      </c>
      <c r="B45" s="439" t="s">
        <v>712</v>
      </c>
      <c r="C45" s="439" t="s">
        <v>710</v>
      </c>
      <c r="D45" s="467" t="s">
        <v>713</v>
      </c>
      <c r="E45" s="103" t="s">
        <v>197</v>
      </c>
      <c r="F45" s="104" t="s">
        <v>198</v>
      </c>
      <c r="G45" s="31">
        <f t="shared" si="0"/>
        <v>49500</v>
      </c>
      <c r="H45" s="31">
        <v>49500</v>
      </c>
      <c r="I45" s="31"/>
      <c r="J45" s="31"/>
    </row>
    <row r="46" spans="1:10" ht="98.25" customHeight="1">
      <c r="A46" s="448"/>
      <c r="B46" s="448"/>
      <c r="C46" s="448"/>
      <c r="D46" s="445"/>
      <c r="E46" s="107" t="s">
        <v>210</v>
      </c>
      <c r="F46" s="109" t="s">
        <v>211</v>
      </c>
      <c r="G46" s="31">
        <f t="shared" si="0"/>
        <v>150000</v>
      </c>
      <c r="H46" s="31">
        <v>150000</v>
      </c>
      <c r="I46" s="31"/>
      <c r="J46" s="31"/>
    </row>
    <row r="47" spans="1:10" ht="78.75" hidden="1">
      <c r="A47" s="98" t="s">
        <v>714</v>
      </c>
      <c r="B47" s="98" t="s">
        <v>715</v>
      </c>
      <c r="C47" s="98" t="s">
        <v>716</v>
      </c>
      <c r="D47" s="110" t="s">
        <v>212</v>
      </c>
      <c r="E47" s="107" t="s">
        <v>213</v>
      </c>
      <c r="F47" s="104" t="s">
        <v>214</v>
      </c>
      <c r="G47" s="31">
        <f t="shared" si="0"/>
        <v>0</v>
      </c>
      <c r="H47" s="31">
        <f>100000-100000</f>
        <v>0</v>
      </c>
      <c r="I47" s="31"/>
      <c r="J47" s="31"/>
    </row>
    <row r="48" spans="1:10" ht="94.5">
      <c r="A48" s="439" t="s">
        <v>136</v>
      </c>
      <c r="B48" s="439" t="s">
        <v>86</v>
      </c>
      <c r="C48" s="439" t="s">
        <v>718</v>
      </c>
      <c r="D48" s="445" t="s">
        <v>87</v>
      </c>
      <c r="E48" s="103" t="s">
        <v>215</v>
      </c>
      <c r="F48" s="109" t="s">
        <v>352</v>
      </c>
      <c r="G48" s="31">
        <f>H48+I48</f>
        <v>2337124</v>
      </c>
      <c r="H48" s="31"/>
      <c r="I48" s="31">
        <f aca="true" t="shared" si="1" ref="I48:I56">J48</f>
        <v>2337124</v>
      </c>
      <c r="J48" s="31">
        <f>1489850+1061729+799188-1013643</f>
        <v>2337124</v>
      </c>
    </row>
    <row r="49" spans="1:10" ht="94.5">
      <c r="A49" s="440"/>
      <c r="B49" s="440"/>
      <c r="C49" s="440"/>
      <c r="D49" s="447"/>
      <c r="E49" s="107" t="s">
        <v>217</v>
      </c>
      <c r="F49" s="109" t="s">
        <v>218</v>
      </c>
      <c r="G49" s="31">
        <f>H49+I49</f>
        <v>387961</v>
      </c>
      <c r="H49" s="31"/>
      <c r="I49" s="31">
        <f t="shared" si="1"/>
        <v>387961</v>
      </c>
      <c r="J49" s="31">
        <f>401229-13268</f>
        <v>387961</v>
      </c>
    </row>
    <row r="50" spans="1:10" ht="94.5">
      <c r="A50" s="441" t="s">
        <v>167</v>
      </c>
      <c r="B50" s="441" t="s">
        <v>168</v>
      </c>
      <c r="C50" s="441" t="s">
        <v>718</v>
      </c>
      <c r="D50" s="471" t="s">
        <v>169</v>
      </c>
      <c r="E50" s="103" t="s">
        <v>193</v>
      </c>
      <c r="F50" s="104" t="s">
        <v>194</v>
      </c>
      <c r="G50" s="31">
        <f>H50+I50</f>
        <v>1110133</v>
      </c>
      <c r="H50" s="31"/>
      <c r="I50" s="31">
        <f t="shared" si="1"/>
        <v>1110133</v>
      </c>
      <c r="J50" s="31">
        <f>182560+682318+245255</f>
        <v>1110133</v>
      </c>
    </row>
    <row r="51" spans="1:10" ht="94.5">
      <c r="A51" s="466"/>
      <c r="B51" s="466"/>
      <c r="C51" s="466"/>
      <c r="D51" s="472"/>
      <c r="E51" s="103" t="s">
        <v>196</v>
      </c>
      <c r="F51" s="94" t="s">
        <v>349</v>
      </c>
      <c r="G51" s="31">
        <f>I51+H51</f>
        <v>427249</v>
      </c>
      <c r="H51" s="31"/>
      <c r="I51" s="31">
        <f>J51</f>
        <v>427249</v>
      </c>
      <c r="J51" s="31">
        <f>250000+24265+123906+29078</f>
        <v>427249</v>
      </c>
    </row>
    <row r="52" spans="1:10" ht="94.5">
      <c r="A52" s="396"/>
      <c r="B52" s="396"/>
      <c r="C52" s="396"/>
      <c r="D52" s="391"/>
      <c r="E52" s="103" t="s">
        <v>195</v>
      </c>
      <c r="F52" s="94" t="s">
        <v>348</v>
      </c>
      <c r="G52" s="31">
        <f>H52+I52</f>
        <v>711330</v>
      </c>
      <c r="H52" s="31"/>
      <c r="I52" s="31">
        <f>J52</f>
        <v>711330</v>
      </c>
      <c r="J52" s="31">
        <f>200000+272399+238931</f>
        <v>711330</v>
      </c>
    </row>
    <row r="53" spans="1:10" ht="94.5">
      <c r="A53" s="257" t="s">
        <v>415</v>
      </c>
      <c r="B53" s="257" t="s">
        <v>132</v>
      </c>
      <c r="C53" s="98" t="s">
        <v>718</v>
      </c>
      <c r="D53" s="110" t="s">
        <v>133</v>
      </c>
      <c r="E53" s="103" t="s">
        <v>215</v>
      </c>
      <c r="F53" s="109" t="s">
        <v>353</v>
      </c>
      <c r="G53" s="31">
        <f>H53+I53</f>
        <v>48600</v>
      </c>
      <c r="H53" s="31"/>
      <c r="I53" s="31">
        <f>J53</f>
        <v>48600</v>
      </c>
      <c r="J53" s="31">
        <v>48600</v>
      </c>
    </row>
    <row r="54" spans="1:10" ht="114.75" customHeight="1">
      <c r="A54" s="439" t="s">
        <v>121</v>
      </c>
      <c r="B54" s="439" t="s">
        <v>41</v>
      </c>
      <c r="C54" s="439" t="s">
        <v>718</v>
      </c>
      <c r="D54" s="445" t="s">
        <v>122</v>
      </c>
      <c r="E54" s="103" t="s">
        <v>215</v>
      </c>
      <c r="F54" s="109" t="s">
        <v>353</v>
      </c>
      <c r="G54" s="31">
        <f>H54+I54</f>
        <v>1903815</v>
      </c>
      <c r="H54" s="31"/>
      <c r="I54" s="31">
        <f t="shared" si="1"/>
        <v>1903815</v>
      </c>
      <c r="J54" s="31">
        <f>578509+138312+53021+747973+300000+60000+26000</f>
        <v>1903815</v>
      </c>
    </row>
    <row r="55" spans="1:10" ht="116.25" customHeight="1">
      <c r="A55" s="440"/>
      <c r="B55" s="440"/>
      <c r="C55" s="440"/>
      <c r="D55" s="447"/>
      <c r="E55" s="107" t="s">
        <v>210</v>
      </c>
      <c r="F55" s="109" t="s">
        <v>211</v>
      </c>
      <c r="G55" s="31">
        <f>H55+I55</f>
        <v>1035724</v>
      </c>
      <c r="H55" s="31"/>
      <c r="I55" s="31">
        <f t="shared" si="1"/>
        <v>1035724</v>
      </c>
      <c r="J55" s="31">
        <f>1035724</f>
        <v>1035724</v>
      </c>
    </row>
    <row r="56" spans="1:10" ht="108.75" customHeight="1">
      <c r="A56" s="98" t="s">
        <v>98</v>
      </c>
      <c r="B56" s="98" t="s">
        <v>96</v>
      </c>
      <c r="C56" s="98" t="s">
        <v>719</v>
      </c>
      <c r="D56" s="99" t="s">
        <v>97</v>
      </c>
      <c r="E56" s="103" t="s">
        <v>215</v>
      </c>
      <c r="F56" s="109" t="s">
        <v>353</v>
      </c>
      <c r="G56" s="31">
        <f t="shared" si="0"/>
        <v>3223795</v>
      </c>
      <c r="H56" s="31"/>
      <c r="I56" s="31">
        <f t="shared" si="1"/>
        <v>3223795</v>
      </c>
      <c r="J56" s="31">
        <f>2711044-1404337-190000+2155688-48600</f>
        <v>3223795</v>
      </c>
    </row>
    <row r="57" spans="1:10" ht="107.25" customHeight="1">
      <c r="A57" s="98" t="s">
        <v>163</v>
      </c>
      <c r="B57" s="98" t="s">
        <v>164</v>
      </c>
      <c r="C57" s="98" t="s">
        <v>165</v>
      </c>
      <c r="D57" s="102" t="s">
        <v>166</v>
      </c>
      <c r="E57" s="103" t="s">
        <v>219</v>
      </c>
      <c r="F57" s="109" t="s">
        <v>354</v>
      </c>
      <c r="G57" s="31">
        <f>H57+I57</f>
        <v>1311824</v>
      </c>
      <c r="H57" s="31">
        <f>187310+219817+130294+106917+285046+382440</f>
        <v>1311824</v>
      </c>
      <c r="I57" s="31"/>
      <c r="J57" s="31"/>
    </row>
    <row r="58" spans="1:10" ht="108.75" customHeight="1">
      <c r="A58" s="98" t="s">
        <v>362</v>
      </c>
      <c r="B58" s="98" t="s">
        <v>363</v>
      </c>
      <c r="C58" s="98" t="s">
        <v>165</v>
      </c>
      <c r="D58" s="102" t="s">
        <v>364</v>
      </c>
      <c r="E58" s="99" t="s">
        <v>207</v>
      </c>
      <c r="F58" s="104" t="s">
        <v>208</v>
      </c>
      <c r="G58" s="31">
        <f>H58+I58</f>
        <v>645000</v>
      </c>
      <c r="H58" s="31">
        <f>195000+450000</f>
        <v>645000</v>
      </c>
      <c r="I58" s="31"/>
      <c r="J58" s="31"/>
    </row>
    <row r="59" spans="1:10" ht="129" customHeight="1">
      <c r="A59" s="98" t="s">
        <v>720</v>
      </c>
      <c r="B59" s="98" t="s">
        <v>721</v>
      </c>
      <c r="C59" s="98" t="s">
        <v>722</v>
      </c>
      <c r="D59" s="102" t="s">
        <v>723</v>
      </c>
      <c r="E59" s="107" t="s">
        <v>210</v>
      </c>
      <c r="F59" s="109" t="s">
        <v>211</v>
      </c>
      <c r="G59" s="31">
        <f t="shared" si="0"/>
        <v>7999146</v>
      </c>
      <c r="H59" s="31">
        <f>7500000+157091+24775+300000</f>
        <v>7981866</v>
      </c>
      <c r="I59" s="31">
        <f>J59</f>
        <v>17280</v>
      </c>
      <c r="J59" s="31">
        <f>17280</f>
        <v>17280</v>
      </c>
    </row>
    <row r="60" spans="1:10" ht="121.5" customHeight="1">
      <c r="A60" s="463" t="s">
        <v>99</v>
      </c>
      <c r="B60" s="463" t="s">
        <v>100</v>
      </c>
      <c r="C60" s="463" t="s">
        <v>719</v>
      </c>
      <c r="D60" s="464" t="s">
        <v>101</v>
      </c>
      <c r="E60" s="99" t="s">
        <v>207</v>
      </c>
      <c r="F60" s="104" t="s">
        <v>208</v>
      </c>
      <c r="G60" s="31">
        <f t="shared" si="0"/>
        <v>11176283</v>
      </c>
      <c r="H60" s="31"/>
      <c r="I60" s="31">
        <f>J60</f>
        <v>11176283</v>
      </c>
      <c r="J60" s="31">
        <f>13750000+512640+65306+239000-4500000+40000+500000+67224-300150+222500+245292+27948+23171+134528+148824</f>
        <v>11176283</v>
      </c>
    </row>
    <row r="61" spans="1:10" ht="122.25" customHeight="1" hidden="1">
      <c r="A61" s="388"/>
      <c r="B61" s="388"/>
      <c r="C61" s="388"/>
      <c r="D61" s="443"/>
      <c r="E61" s="103" t="s">
        <v>193</v>
      </c>
      <c r="F61" s="104" t="s">
        <v>194</v>
      </c>
      <c r="G61" s="31">
        <f t="shared" si="0"/>
        <v>0</v>
      </c>
      <c r="H61" s="31"/>
      <c r="I61" s="31">
        <f>J61</f>
        <v>0</v>
      </c>
      <c r="J61" s="31">
        <f>945200-790494-154706</f>
        <v>0</v>
      </c>
    </row>
    <row r="62" spans="1:10" ht="109.5" customHeight="1">
      <c r="A62" s="98" t="s">
        <v>724</v>
      </c>
      <c r="B62" s="98" t="s">
        <v>725</v>
      </c>
      <c r="C62" s="98" t="s">
        <v>719</v>
      </c>
      <c r="D62" s="99" t="s">
        <v>726</v>
      </c>
      <c r="E62" s="99" t="s">
        <v>220</v>
      </c>
      <c r="F62" s="94" t="s">
        <v>221</v>
      </c>
      <c r="G62" s="31">
        <f t="shared" si="0"/>
        <v>29837</v>
      </c>
      <c r="H62" s="31">
        <f>25325+4512</f>
        <v>29837</v>
      </c>
      <c r="I62" s="31"/>
      <c r="J62" s="31"/>
    </row>
    <row r="63" spans="1:10" ht="99" customHeight="1">
      <c r="A63" s="439" t="s">
        <v>727</v>
      </c>
      <c r="B63" s="439" t="s">
        <v>728</v>
      </c>
      <c r="C63" s="439" t="s">
        <v>719</v>
      </c>
      <c r="D63" s="462" t="s">
        <v>729</v>
      </c>
      <c r="E63" s="99" t="s">
        <v>189</v>
      </c>
      <c r="F63" s="94" t="s">
        <v>221</v>
      </c>
      <c r="G63" s="31">
        <f t="shared" si="0"/>
        <v>2781392</v>
      </c>
      <c r="H63" s="31">
        <f>14000+36000+28618+840000+31340+98700+38420+400000+17669+195000+78000+386452+195364+32500+49982+23108+49731+10050+49958+200000+6500</f>
        <v>2781392</v>
      </c>
      <c r="I63" s="31"/>
      <c r="J63" s="31"/>
    </row>
    <row r="64" spans="1:10" ht="78.75" customHeight="1">
      <c r="A64" s="439"/>
      <c r="B64" s="439"/>
      <c r="C64" s="439"/>
      <c r="D64" s="462"/>
      <c r="E64" s="102" t="s">
        <v>222</v>
      </c>
      <c r="F64" s="109" t="s">
        <v>595</v>
      </c>
      <c r="G64" s="31">
        <f t="shared" si="0"/>
        <v>6000</v>
      </c>
      <c r="H64" s="31">
        <v>6000</v>
      </c>
      <c r="I64" s="31"/>
      <c r="J64" s="31"/>
    </row>
    <row r="65" spans="1:10" ht="102.75" customHeight="1">
      <c r="A65" s="448"/>
      <c r="B65" s="448"/>
      <c r="C65" s="448"/>
      <c r="D65" s="460"/>
      <c r="E65" s="99" t="s">
        <v>223</v>
      </c>
      <c r="F65" s="104" t="s">
        <v>355</v>
      </c>
      <c r="G65" s="31">
        <f t="shared" si="0"/>
        <v>460000</v>
      </c>
      <c r="H65" s="31">
        <f>300000+195000-195000+100000+60000</f>
        <v>460000</v>
      </c>
      <c r="I65" s="31"/>
      <c r="J65" s="31"/>
    </row>
    <row r="66" spans="1:10" ht="116.25" customHeight="1">
      <c r="A66" s="448"/>
      <c r="B66" s="448"/>
      <c r="C66" s="448"/>
      <c r="D66" s="460"/>
      <c r="E66" s="99" t="s">
        <v>224</v>
      </c>
      <c r="F66" s="104" t="s">
        <v>225</v>
      </c>
      <c r="G66" s="31">
        <f>H66</f>
        <v>91204</v>
      </c>
      <c r="H66" s="31">
        <f>91204</f>
        <v>91204</v>
      </c>
      <c r="I66" s="31"/>
      <c r="J66" s="31"/>
    </row>
    <row r="67" spans="1:10" ht="109.5" customHeight="1">
      <c r="A67" s="448"/>
      <c r="B67" s="448"/>
      <c r="C67" s="448"/>
      <c r="D67" s="460"/>
      <c r="E67" s="99" t="s">
        <v>207</v>
      </c>
      <c r="F67" s="104" t="s">
        <v>208</v>
      </c>
      <c r="G67" s="31">
        <f t="shared" si="0"/>
        <v>954655</v>
      </c>
      <c r="H67" s="31">
        <f>456628-300000+700000+70027+28000</f>
        <v>954655</v>
      </c>
      <c r="I67" s="31"/>
      <c r="J67" s="31"/>
    </row>
    <row r="68" spans="1:10" ht="109.5" customHeight="1">
      <c r="A68" s="448"/>
      <c r="B68" s="448"/>
      <c r="C68" s="448"/>
      <c r="D68" s="460"/>
      <c r="E68" s="99" t="s">
        <v>262</v>
      </c>
      <c r="F68" s="104" t="s">
        <v>263</v>
      </c>
      <c r="G68" s="31">
        <f t="shared" si="0"/>
        <v>115731</v>
      </c>
      <c r="H68" s="31">
        <v>115731</v>
      </c>
      <c r="I68" s="31"/>
      <c r="J68" s="31"/>
    </row>
    <row r="69" spans="1:10" ht="90.75" customHeight="1">
      <c r="A69" s="448"/>
      <c r="B69" s="448"/>
      <c r="C69" s="448"/>
      <c r="D69" s="460"/>
      <c r="E69" s="107" t="s">
        <v>226</v>
      </c>
      <c r="F69" s="109" t="s">
        <v>356</v>
      </c>
      <c r="G69" s="31">
        <f t="shared" si="0"/>
        <v>645975</v>
      </c>
      <c r="H69" s="31">
        <f>90000+495127+58410-23108+25546</f>
        <v>645975</v>
      </c>
      <c r="I69" s="31"/>
      <c r="J69" s="31"/>
    </row>
    <row r="70" spans="1:10" ht="109.5" customHeight="1">
      <c r="A70" s="98" t="s">
        <v>730</v>
      </c>
      <c r="B70" s="105">
        <v>8210</v>
      </c>
      <c r="C70" s="98" t="s">
        <v>732</v>
      </c>
      <c r="D70" s="99" t="s">
        <v>733</v>
      </c>
      <c r="E70" s="102" t="s">
        <v>227</v>
      </c>
      <c r="F70" s="104" t="s">
        <v>357</v>
      </c>
      <c r="G70" s="31">
        <f t="shared" si="0"/>
        <v>3028557</v>
      </c>
      <c r="H70" s="31">
        <f>2497345+62500+51658+417054</f>
        <v>3028557</v>
      </c>
      <c r="I70" s="31"/>
      <c r="J70" s="31"/>
    </row>
    <row r="71" spans="1:10" ht="88.5" customHeight="1">
      <c r="A71" s="98" t="s">
        <v>734</v>
      </c>
      <c r="B71" s="98" t="s">
        <v>735</v>
      </c>
      <c r="C71" s="98" t="s">
        <v>736</v>
      </c>
      <c r="D71" s="102" t="s">
        <v>737</v>
      </c>
      <c r="E71" s="107" t="s">
        <v>228</v>
      </c>
      <c r="F71" s="109" t="s">
        <v>229</v>
      </c>
      <c r="G71" s="31">
        <f t="shared" si="0"/>
        <v>925958</v>
      </c>
      <c r="H71" s="31"/>
      <c r="I71" s="31">
        <f>212000+713958</f>
        <v>925958</v>
      </c>
      <c r="J71" s="31"/>
    </row>
    <row r="72" spans="1:10" ht="96.75" customHeight="1">
      <c r="A72" s="98" t="s">
        <v>738</v>
      </c>
      <c r="B72" s="98" t="s">
        <v>739</v>
      </c>
      <c r="C72" s="98" t="s">
        <v>740</v>
      </c>
      <c r="D72" s="99" t="s">
        <v>741</v>
      </c>
      <c r="E72" s="99" t="s">
        <v>230</v>
      </c>
      <c r="F72" s="104" t="s">
        <v>231</v>
      </c>
      <c r="G72" s="31">
        <f t="shared" si="0"/>
        <v>818788</v>
      </c>
      <c r="H72" s="31">
        <f>749450+69338</f>
        <v>818788</v>
      </c>
      <c r="I72" s="31"/>
      <c r="J72" s="31"/>
    </row>
    <row r="73" spans="1:10" ht="99.75" customHeight="1">
      <c r="A73" s="98" t="s">
        <v>742</v>
      </c>
      <c r="B73" s="98" t="s">
        <v>743</v>
      </c>
      <c r="C73" s="98" t="s">
        <v>740</v>
      </c>
      <c r="D73" s="110" t="s">
        <v>744</v>
      </c>
      <c r="E73" s="99" t="s">
        <v>220</v>
      </c>
      <c r="F73" s="94" t="s">
        <v>221</v>
      </c>
      <c r="G73" s="31">
        <f t="shared" si="0"/>
        <v>1270255</v>
      </c>
      <c r="H73" s="31">
        <f>1070455+199800</f>
        <v>1270255</v>
      </c>
      <c r="I73" s="31"/>
      <c r="J73" s="31"/>
    </row>
    <row r="74" spans="1:10" ht="48.75" customHeight="1">
      <c r="A74" s="96" t="s">
        <v>745</v>
      </c>
      <c r="B74" s="98"/>
      <c r="C74" s="101"/>
      <c r="D74" s="111" t="s">
        <v>232</v>
      </c>
      <c r="E74" s="107"/>
      <c r="F74" s="94"/>
      <c r="G74" s="33">
        <f>G75</f>
        <v>29527347</v>
      </c>
      <c r="H74" s="33">
        <f>H75</f>
        <v>15283823</v>
      </c>
      <c r="I74" s="33">
        <f>I75</f>
        <v>14243524</v>
      </c>
      <c r="J74" s="33">
        <f>J75</f>
        <v>7587810</v>
      </c>
    </row>
    <row r="75" spans="1:10" ht="51.75" customHeight="1">
      <c r="A75" s="96" t="s">
        <v>747</v>
      </c>
      <c r="B75" s="98"/>
      <c r="C75" s="101"/>
      <c r="D75" s="111" t="s">
        <v>232</v>
      </c>
      <c r="E75" s="107"/>
      <c r="F75" s="94"/>
      <c r="G75" s="33">
        <f>H75+I75</f>
        <v>29527347</v>
      </c>
      <c r="H75" s="33">
        <f>SUM(H76:H92)</f>
        <v>15283823</v>
      </c>
      <c r="I75" s="33">
        <f>SUM(I76:I92)</f>
        <v>14243524</v>
      </c>
      <c r="J75" s="33">
        <f>SUM(J76:J92)</f>
        <v>7587810</v>
      </c>
    </row>
    <row r="76" spans="1:10" ht="113.25" customHeight="1">
      <c r="A76" s="98" t="s">
        <v>748</v>
      </c>
      <c r="B76" s="98" t="s">
        <v>749</v>
      </c>
      <c r="C76" s="98" t="s">
        <v>654</v>
      </c>
      <c r="D76" s="102" t="s">
        <v>750</v>
      </c>
      <c r="E76" s="99" t="s">
        <v>220</v>
      </c>
      <c r="F76" s="94" t="s">
        <v>221</v>
      </c>
      <c r="G76" s="31">
        <f>H76+I76</f>
        <v>13000</v>
      </c>
      <c r="H76" s="31"/>
      <c r="I76" s="31">
        <f>J76</f>
        <v>13000</v>
      </c>
      <c r="J76" s="31">
        <v>13000</v>
      </c>
    </row>
    <row r="77" spans="1:10" ht="102" customHeight="1">
      <c r="A77" s="439" t="s">
        <v>751</v>
      </c>
      <c r="B77" s="439" t="s">
        <v>752</v>
      </c>
      <c r="C77" s="449" t="s">
        <v>753</v>
      </c>
      <c r="D77" s="460" t="s">
        <v>754</v>
      </c>
      <c r="E77" s="107" t="s">
        <v>369</v>
      </c>
      <c r="F77" s="104" t="s">
        <v>234</v>
      </c>
      <c r="G77" s="31">
        <f aca="true" t="shared" si="2" ref="G77:G90">H77+I77</f>
        <v>9185569</v>
      </c>
      <c r="H77" s="31">
        <f>3688410+175500+2800+28916-6794-16800-16000+49950</f>
        <v>3905982</v>
      </c>
      <c r="I77" s="31">
        <f>4900875+J77+225750</f>
        <v>5279587</v>
      </c>
      <c r="J77" s="31">
        <f>12000+16800+6794+16800+16000+22980+13588+16000+32000</f>
        <v>152962</v>
      </c>
    </row>
    <row r="78" spans="1:10" ht="96.75" customHeight="1">
      <c r="A78" s="448"/>
      <c r="B78" s="448"/>
      <c r="C78" s="450"/>
      <c r="D78" s="460"/>
      <c r="E78" s="107" t="s">
        <v>235</v>
      </c>
      <c r="F78" s="104" t="s">
        <v>236</v>
      </c>
      <c r="G78" s="31">
        <f t="shared" si="2"/>
        <v>131078</v>
      </c>
      <c r="H78" s="31">
        <f>123146+7932</f>
        <v>131078</v>
      </c>
      <c r="I78" s="31"/>
      <c r="J78" s="31"/>
    </row>
    <row r="79" spans="1:10" ht="90.75" customHeight="1">
      <c r="A79" s="439" t="s">
        <v>755</v>
      </c>
      <c r="B79" s="439" t="s">
        <v>756</v>
      </c>
      <c r="C79" s="439" t="s">
        <v>757</v>
      </c>
      <c r="D79" s="462" t="s">
        <v>124</v>
      </c>
      <c r="E79" s="99" t="s">
        <v>237</v>
      </c>
      <c r="F79" s="104" t="s">
        <v>238</v>
      </c>
      <c r="G79" s="31">
        <f t="shared" si="2"/>
        <v>365148</v>
      </c>
      <c r="H79" s="31">
        <f>292950+26460+37800</f>
        <v>357210</v>
      </c>
      <c r="I79" s="31">
        <v>7938</v>
      </c>
      <c r="J79" s="31"/>
    </row>
    <row r="80" spans="1:10" ht="111" customHeight="1">
      <c r="A80" s="459"/>
      <c r="B80" s="459"/>
      <c r="C80" s="459"/>
      <c r="D80" s="460"/>
      <c r="E80" s="107" t="s">
        <v>369</v>
      </c>
      <c r="F80" s="104" t="s">
        <v>234</v>
      </c>
      <c r="G80" s="31">
        <f t="shared" si="2"/>
        <v>10463272</v>
      </c>
      <c r="H80" s="31">
        <f>6632110+697533+50000+3568+304820+50000+1380210+34340+38094+517478+804-45716-3313+6510-102723+52723-400718-56663-49185-373004</f>
        <v>8736868</v>
      </c>
      <c r="I80" s="31">
        <f>1308991+J80+212160</f>
        <v>1726404</v>
      </c>
      <c r="J80" s="31">
        <f>148120+232+56901</f>
        <v>205253</v>
      </c>
    </row>
    <row r="81" spans="1:10" ht="87.75" customHeight="1">
      <c r="A81" s="459"/>
      <c r="B81" s="459"/>
      <c r="C81" s="459"/>
      <c r="D81" s="460"/>
      <c r="E81" s="107" t="s">
        <v>235</v>
      </c>
      <c r="F81" s="104" t="s">
        <v>236</v>
      </c>
      <c r="G81" s="31">
        <f t="shared" si="2"/>
        <v>1821289</v>
      </c>
      <c r="H81" s="31">
        <v>1821289</v>
      </c>
      <c r="I81" s="31"/>
      <c r="J81" s="31"/>
    </row>
    <row r="82" spans="1:10" ht="96" customHeight="1">
      <c r="A82" s="439" t="s">
        <v>763</v>
      </c>
      <c r="B82" s="439" t="s">
        <v>692</v>
      </c>
      <c r="C82" s="439" t="s">
        <v>764</v>
      </c>
      <c r="D82" s="445" t="s">
        <v>125</v>
      </c>
      <c r="E82" s="107" t="s">
        <v>235</v>
      </c>
      <c r="F82" s="104" t="s">
        <v>236</v>
      </c>
      <c r="G82" s="31">
        <f t="shared" si="2"/>
        <v>8002</v>
      </c>
      <c r="H82" s="31">
        <v>8002</v>
      </c>
      <c r="I82" s="31"/>
      <c r="J82" s="31"/>
    </row>
    <row r="83" spans="1:10" ht="120.75" customHeight="1">
      <c r="A83" s="455"/>
      <c r="B83" s="455"/>
      <c r="C83" s="455"/>
      <c r="D83" s="456"/>
      <c r="E83" s="107" t="s">
        <v>369</v>
      </c>
      <c r="F83" s="104" t="s">
        <v>234</v>
      </c>
      <c r="G83" s="31">
        <f t="shared" si="2"/>
        <v>36712</v>
      </c>
      <c r="H83" s="31">
        <f>35265+11119-5443-4229</f>
        <v>36712</v>
      </c>
      <c r="I83" s="31"/>
      <c r="J83" s="31"/>
    </row>
    <row r="84" spans="1:10" ht="90" customHeight="1">
      <c r="A84" s="98" t="s">
        <v>765</v>
      </c>
      <c r="B84" s="98" t="s">
        <v>766</v>
      </c>
      <c r="C84" s="98" t="s">
        <v>767</v>
      </c>
      <c r="D84" s="102" t="s">
        <v>126</v>
      </c>
      <c r="E84" s="107" t="s">
        <v>235</v>
      </c>
      <c r="F84" s="104" t="s">
        <v>236</v>
      </c>
      <c r="G84" s="31">
        <f t="shared" si="2"/>
        <v>350</v>
      </c>
      <c r="H84" s="31">
        <v>350</v>
      </c>
      <c r="I84" s="31"/>
      <c r="J84" s="31"/>
    </row>
    <row r="85" spans="1:10" ht="104.25" customHeight="1">
      <c r="A85" s="98" t="s">
        <v>768</v>
      </c>
      <c r="B85" s="98" t="s">
        <v>769</v>
      </c>
      <c r="C85" s="98" t="s">
        <v>767</v>
      </c>
      <c r="D85" s="102" t="s">
        <v>770</v>
      </c>
      <c r="E85" s="107" t="s">
        <v>369</v>
      </c>
      <c r="F85" s="104" t="s">
        <v>234</v>
      </c>
      <c r="G85" s="31">
        <f>H85+I85</f>
        <v>35000</v>
      </c>
      <c r="H85" s="31"/>
      <c r="I85" s="31">
        <f>J85</f>
        <v>35000</v>
      </c>
      <c r="J85" s="31">
        <v>35000</v>
      </c>
    </row>
    <row r="86" spans="1:10" ht="96.75" customHeight="1">
      <c r="A86" s="98" t="s">
        <v>774</v>
      </c>
      <c r="B86" s="98" t="s">
        <v>775</v>
      </c>
      <c r="C86" s="98" t="s">
        <v>767</v>
      </c>
      <c r="D86" s="24" t="s">
        <v>776</v>
      </c>
      <c r="E86" s="107" t="s">
        <v>239</v>
      </c>
      <c r="F86" s="104" t="s">
        <v>240</v>
      </c>
      <c r="G86" s="31">
        <f t="shared" si="2"/>
        <v>255140</v>
      </c>
      <c r="H86" s="31">
        <v>255140</v>
      </c>
      <c r="I86" s="31"/>
      <c r="J86" s="31"/>
    </row>
    <row r="87" spans="1:10" ht="108.75" customHeight="1">
      <c r="A87" s="125" t="s">
        <v>575</v>
      </c>
      <c r="B87" s="125" t="s">
        <v>576</v>
      </c>
      <c r="C87" s="125" t="s">
        <v>767</v>
      </c>
      <c r="D87" s="245" t="s">
        <v>577</v>
      </c>
      <c r="E87" s="107" t="s">
        <v>369</v>
      </c>
      <c r="F87" s="104" t="s">
        <v>234</v>
      </c>
      <c r="G87" s="31">
        <f t="shared" si="2"/>
        <v>340718</v>
      </c>
      <c r="H87" s="31"/>
      <c r="I87" s="31">
        <f>J87</f>
        <v>340718</v>
      </c>
      <c r="J87" s="31">
        <v>340718</v>
      </c>
    </row>
    <row r="88" spans="1:10" ht="83.25" customHeight="1">
      <c r="A88" s="98" t="s">
        <v>150</v>
      </c>
      <c r="B88" s="98" t="s">
        <v>151</v>
      </c>
      <c r="C88" s="98" t="s">
        <v>152</v>
      </c>
      <c r="D88" s="102" t="s">
        <v>153</v>
      </c>
      <c r="E88" s="108" t="s">
        <v>373</v>
      </c>
      <c r="F88" s="104" t="s">
        <v>241</v>
      </c>
      <c r="G88" s="31">
        <f t="shared" si="2"/>
        <v>2880</v>
      </c>
      <c r="H88" s="31">
        <v>2880</v>
      </c>
      <c r="I88" s="31"/>
      <c r="J88" s="31"/>
    </row>
    <row r="89" spans="1:10" ht="109.5" customHeight="1">
      <c r="A89" s="439" t="s">
        <v>777</v>
      </c>
      <c r="B89" s="439" t="s">
        <v>778</v>
      </c>
      <c r="C89" s="439" t="s">
        <v>779</v>
      </c>
      <c r="D89" s="445" t="s">
        <v>780</v>
      </c>
      <c r="E89" s="107" t="s">
        <v>233</v>
      </c>
      <c r="F89" s="104" t="s">
        <v>234</v>
      </c>
      <c r="G89" s="31">
        <f t="shared" si="2"/>
        <v>28265</v>
      </c>
      <c r="H89" s="31">
        <f>23265-5000</f>
        <v>18265</v>
      </c>
      <c r="I89" s="31">
        <f>J89</f>
        <v>10000</v>
      </c>
      <c r="J89" s="31">
        <v>10000</v>
      </c>
    </row>
    <row r="90" spans="1:10" ht="92.25" customHeight="1">
      <c r="A90" s="448"/>
      <c r="B90" s="448"/>
      <c r="C90" s="448"/>
      <c r="D90" s="445"/>
      <c r="E90" s="107" t="s">
        <v>235</v>
      </c>
      <c r="F90" s="104" t="s">
        <v>236</v>
      </c>
      <c r="G90" s="31">
        <f t="shared" si="2"/>
        <v>10047</v>
      </c>
      <c r="H90" s="31">
        <v>10047</v>
      </c>
      <c r="I90" s="31"/>
      <c r="J90" s="31"/>
    </row>
    <row r="91" spans="1:10" ht="118.5" customHeight="1">
      <c r="A91" s="98" t="s">
        <v>128</v>
      </c>
      <c r="B91" s="98" t="s">
        <v>129</v>
      </c>
      <c r="C91" s="98" t="s">
        <v>718</v>
      </c>
      <c r="D91" s="102" t="s">
        <v>130</v>
      </c>
      <c r="E91" s="107" t="s">
        <v>369</v>
      </c>
      <c r="F91" s="104" t="s">
        <v>234</v>
      </c>
      <c r="G91" s="31">
        <f>H91+I91</f>
        <v>6830877</v>
      </c>
      <c r="H91" s="31"/>
      <c r="I91" s="31">
        <f>J91</f>
        <v>6830877</v>
      </c>
      <c r="J91" s="31">
        <f>3545137+251261+46683+2049486+40989+3313+60000+56663+49185+49900+62848+45503+4229+373004+10096+49899+59031+49879+23771</f>
        <v>6830877</v>
      </c>
    </row>
    <row r="92" spans="1:10" ht="94.5" hidden="1">
      <c r="A92" s="98" t="s">
        <v>95</v>
      </c>
      <c r="B92" s="98" t="s">
        <v>96</v>
      </c>
      <c r="C92" s="98" t="s">
        <v>719</v>
      </c>
      <c r="D92" s="102" t="s">
        <v>97</v>
      </c>
      <c r="E92" s="103" t="s">
        <v>215</v>
      </c>
      <c r="F92" s="109" t="s">
        <v>216</v>
      </c>
      <c r="G92" s="31">
        <f>H92+I92</f>
        <v>0</v>
      </c>
      <c r="H92" s="31"/>
      <c r="I92" s="31">
        <f>J92</f>
        <v>0</v>
      </c>
      <c r="J92" s="31">
        <f>597771-597771</f>
        <v>0</v>
      </c>
    </row>
    <row r="93" spans="1:10" ht="64.5" customHeight="1">
      <c r="A93" s="96" t="s">
        <v>781</v>
      </c>
      <c r="B93" s="112"/>
      <c r="C93" s="101"/>
      <c r="D93" s="111" t="s">
        <v>782</v>
      </c>
      <c r="E93" s="107"/>
      <c r="F93" s="94"/>
      <c r="G93" s="33">
        <f>G94</f>
        <v>5699566</v>
      </c>
      <c r="H93" s="33">
        <f>H94</f>
        <v>5641662</v>
      </c>
      <c r="I93" s="33">
        <f>I94</f>
        <v>57904</v>
      </c>
      <c r="J93" s="33">
        <f>J94</f>
        <v>57904</v>
      </c>
    </row>
    <row r="94" spans="1:10" ht="69" customHeight="1">
      <c r="A94" s="96" t="s">
        <v>783</v>
      </c>
      <c r="B94" s="112"/>
      <c r="C94" s="101"/>
      <c r="D94" s="111" t="s">
        <v>782</v>
      </c>
      <c r="E94" s="107"/>
      <c r="F94" s="94"/>
      <c r="G94" s="33">
        <f>SUM(G95:G110)</f>
        <v>5699566</v>
      </c>
      <c r="H94" s="33">
        <f>SUM(H95:H110)</f>
        <v>5641662</v>
      </c>
      <c r="I94" s="33">
        <f>SUM(I95:I110)</f>
        <v>57904</v>
      </c>
      <c r="J94" s="33">
        <f>SUM(J95:J110)</f>
        <v>57904</v>
      </c>
    </row>
    <row r="95" spans="1:10" ht="55.5" customHeight="1">
      <c r="A95" s="98" t="s">
        <v>59</v>
      </c>
      <c r="B95" s="98" t="s">
        <v>60</v>
      </c>
      <c r="C95" s="98" t="s">
        <v>688</v>
      </c>
      <c r="D95" s="102" t="s">
        <v>61</v>
      </c>
      <c r="E95" s="453" t="s">
        <v>197</v>
      </c>
      <c r="F95" s="454" t="s">
        <v>198</v>
      </c>
      <c r="G95" s="31">
        <f>H95+I95</f>
        <v>22260</v>
      </c>
      <c r="H95" s="31">
        <v>22260</v>
      </c>
      <c r="I95" s="31"/>
      <c r="J95" s="31"/>
    </row>
    <row r="96" spans="1:10" ht="36.75" customHeight="1">
      <c r="A96" s="98" t="s">
        <v>62</v>
      </c>
      <c r="B96" s="98" t="s">
        <v>63</v>
      </c>
      <c r="C96" s="98" t="s">
        <v>64</v>
      </c>
      <c r="D96" s="102" t="s">
        <v>65</v>
      </c>
      <c r="E96" s="390"/>
      <c r="F96" s="393"/>
      <c r="G96" s="31">
        <f aca="true" t="shared" si="3" ref="G96:G110">H96+I96</f>
        <v>122309</v>
      </c>
      <c r="H96" s="31">
        <f>155360-33051</f>
        <v>122309</v>
      </c>
      <c r="I96" s="31"/>
      <c r="J96" s="31"/>
    </row>
    <row r="97" spans="1:10" ht="73.5" customHeight="1">
      <c r="A97" s="98" t="s">
        <v>66</v>
      </c>
      <c r="B97" s="98" t="s">
        <v>67</v>
      </c>
      <c r="C97" s="98" t="s">
        <v>64</v>
      </c>
      <c r="D97" s="102" t="s">
        <v>68</v>
      </c>
      <c r="E97" s="390"/>
      <c r="F97" s="393"/>
      <c r="G97" s="31">
        <f t="shared" si="3"/>
        <v>2189367</v>
      </c>
      <c r="H97" s="31">
        <f>2800000-450000-160633</f>
        <v>2189367</v>
      </c>
      <c r="I97" s="31"/>
      <c r="J97" s="31"/>
    </row>
    <row r="98" spans="1:10" ht="56.25" customHeight="1">
      <c r="A98" s="98" t="s">
        <v>69</v>
      </c>
      <c r="B98" s="98" t="s">
        <v>70</v>
      </c>
      <c r="C98" s="98" t="s">
        <v>64</v>
      </c>
      <c r="D98" s="102" t="s">
        <v>71</v>
      </c>
      <c r="E98" s="390"/>
      <c r="F98" s="393"/>
      <c r="G98" s="31">
        <f t="shared" si="3"/>
        <v>97607</v>
      </c>
      <c r="H98" s="31">
        <f>153000-55393</f>
        <v>97607</v>
      </c>
      <c r="I98" s="31"/>
      <c r="J98" s="31"/>
    </row>
    <row r="99" spans="1:10" ht="57.75" customHeight="1">
      <c r="A99" s="98" t="s">
        <v>785</v>
      </c>
      <c r="B99" s="98" t="s">
        <v>786</v>
      </c>
      <c r="C99" s="98" t="s">
        <v>756</v>
      </c>
      <c r="D99" s="102" t="s">
        <v>787</v>
      </c>
      <c r="E99" s="391"/>
      <c r="F99" s="388"/>
      <c r="G99" s="31">
        <f t="shared" si="3"/>
        <v>99871</v>
      </c>
      <c r="H99" s="31">
        <f>49909+49962</f>
        <v>99871</v>
      </c>
      <c r="I99" s="31"/>
      <c r="J99" s="31"/>
    </row>
    <row r="100" spans="1:10" ht="69.75" customHeight="1">
      <c r="A100" s="98" t="s">
        <v>791</v>
      </c>
      <c r="B100" s="98" t="s">
        <v>792</v>
      </c>
      <c r="C100" s="98" t="s">
        <v>684</v>
      </c>
      <c r="D100" s="102" t="s">
        <v>793</v>
      </c>
      <c r="E100" s="457" t="s">
        <v>530</v>
      </c>
      <c r="F100" s="458" t="s">
        <v>358</v>
      </c>
      <c r="G100" s="31">
        <f t="shared" si="3"/>
        <v>637299</v>
      </c>
      <c r="H100" s="31">
        <f>605597+15045+16657</f>
        <v>637299</v>
      </c>
      <c r="I100" s="31"/>
      <c r="J100" s="31"/>
    </row>
    <row r="101" spans="1:10" ht="47.25" customHeight="1">
      <c r="A101" s="98" t="s">
        <v>794</v>
      </c>
      <c r="B101" s="98" t="s">
        <v>795</v>
      </c>
      <c r="C101" s="98" t="s">
        <v>684</v>
      </c>
      <c r="D101" s="99" t="s">
        <v>242</v>
      </c>
      <c r="E101" s="456"/>
      <c r="F101" s="330"/>
      <c r="G101" s="31">
        <f t="shared" si="3"/>
        <v>5000</v>
      </c>
      <c r="H101" s="31">
        <v>5000</v>
      </c>
      <c r="I101" s="31"/>
      <c r="J101" s="31"/>
    </row>
    <row r="102" spans="1:10" ht="70.5" customHeight="1">
      <c r="A102" s="98" t="s">
        <v>72</v>
      </c>
      <c r="B102" s="98" t="s">
        <v>73</v>
      </c>
      <c r="C102" s="98" t="s">
        <v>752</v>
      </c>
      <c r="D102" s="99" t="s">
        <v>243</v>
      </c>
      <c r="E102" s="478" t="s">
        <v>197</v>
      </c>
      <c r="F102" s="450" t="s">
        <v>198</v>
      </c>
      <c r="G102" s="31">
        <f t="shared" si="3"/>
        <v>490619</v>
      </c>
      <c r="H102" s="31">
        <f>606834-55554-60661</f>
        <v>490619</v>
      </c>
      <c r="I102" s="31"/>
      <c r="J102" s="31"/>
    </row>
    <row r="103" spans="1:10" ht="69.75" customHeight="1">
      <c r="A103" s="98" t="s">
        <v>75</v>
      </c>
      <c r="B103" s="98" t="s">
        <v>76</v>
      </c>
      <c r="C103" s="98" t="s">
        <v>77</v>
      </c>
      <c r="D103" s="102" t="s">
        <v>244</v>
      </c>
      <c r="E103" s="447"/>
      <c r="F103" s="330"/>
      <c r="G103" s="31">
        <f t="shared" si="3"/>
        <v>310827</v>
      </c>
      <c r="H103" s="31">
        <f>310166+661</f>
        <v>310827</v>
      </c>
      <c r="I103" s="31"/>
      <c r="J103" s="31"/>
    </row>
    <row r="104" spans="1:10" ht="31.5">
      <c r="A104" s="98" t="s">
        <v>79</v>
      </c>
      <c r="B104" s="98" t="s">
        <v>687</v>
      </c>
      <c r="C104" s="98" t="s">
        <v>688</v>
      </c>
      <c r="D104" s="102" t="s">
        <v>689</v>
      </c>
      <c r="E104" s="447"/>
      <c r="F104" s="330"/>
      <c r="G104" s="31">
        <f t="shared" si="3"/>
        <v>251878</v>
      </c>
      <c r="H104" s="31">
        <f>253324+50000-51446</f>
        <v>251878</v>
      </c>
      <c r="I104" s="31"/>
      <c r="J104" s="31"/>
    </row>
    <row r="105" spans="1:10" ht="56.25" customHeight="1">
      <c r="A105" s="98" t="s">
        <v>80</v>
      </c>
      <c r="B105" s="98" t="s">
        <v>81</v>
      </c>
      <c r="C105" s="98" t="s">
        <v>688</v>
      </c>
      <c r="D105" s="102" t="s">
        <v>245</v>
      </c>
      <c r="E105" s="447"/>
      <c r="F105" s="330"/>
      <c r="G105" s="31">
        <f t="shared" si="3"/>
        <v>497450</v>
      </c>
      <c r="H105" s="31">
        <f>300000+100000+13958+63420+20072</f>
        <v>497450</v>
      </c>
      <c r="I105" s="31"/>
      <c r="J105" s="31"/>
    </row>
    <row r="106" spans="1:10" ht="87.75" customHeight="1">
      <c r="A106" s="98" t="s">
        <v>174</v>
      </c>
      <c r="B106" s="98" t="s">
        <v>151</v>
      </c>
      <c r="C106" s="98" t="s">
        <v>152</v>
      </c>
      <c r="D106" s="102" t="s">
        <v>153</v>
      </c>
      <c r="E106" s="108" t="s">
        <v>373</v>
      </c>
      <c r="F106" s="104" t="s">
        <v>241</v>
      </c>
      <c r="G106" s="31">
        <f t="shared" si="3"/>
        <v>11520</v>
      </c>
      <c r="H106" s="31">
        <v>11520</v>
      </c>
      <c r="I106" s="31"/>
      <c r="J106" s="31"/>
    </row>
    <row r="107" spans="1:10" ht="95.25" customHeight="1">
      <c r="A107" s="98" t="s">
        <v>83</v>
      </c>
      <c r="B107" s="98" t="s">
        <v>691</v>
      </c>
      <c r="C107" s="101" t="s">
        <v>692</v>
      </c>
      <c r="D107" s="113" t="s">
        <v>246</v>
      </c>
      <c r="E107" s="171" t="s">
        <v>197</v>
      </c>
      <c r="F107" s="94" t="s">
        <v>198</v>
      </c>
      <c r="G107" s="31">
        <f t="shared" si="3"/>
        <v>879380</v>
      </c>
      <c r="H107" s="31">
        <f>789380+60000+30000</f>
        <v>879380</v>
      </c>
      <c r="I107" s="31"/>
      <c r="J107" s="31"/>
    </row>
    <row r="108" spans="1:10" ht="80.25" customHeight="1">
      <c r="A108" s="98" t="s">
        <v>596</v>
      </c>
      <c r="B108" s="98" t="s">
        <v>597</v>
      </c>
      <c r="C108" s="101" t="s">
        <v>718</v>
      </c>
      <c r="D108" s="113" t="s">
        <v>598</v>
      </c>
      <c r="E108" s="171" t="s">
        <v>604</v>
      </c>
      <c r="F108" s="94" t="s">
        <v>554</v>
      </c>
      <c r="G108" s="31">
        <f t="shared" si="3"/>
        <v>6444</v>
      </c>
      <c r="H108" s="31"/>
      <c r="I108" s="31">
        <f>J108</f>
        <v>6444</v>
      </c>
      <c r="J108" s="31">
        <v>6444</v>
      </c>
    </row>
    <row r="109" spans="1:10" ht="102" customHeight="1">
      <c r="A109" s="98" t="s">
        <v>173</v>
      </c>
      <c r="B109" s="98" t="s">
        <v>41</v>
      </c>
      <c r="C109" s="98" t="s">
        <v>718</v>
      </c>
      <c r="D109" s="102" t="s">
        <v>122</v>
      </c>
      <c r="E109" s="171" t="s">
        <v>197</v>
      </c>
      <c r="F109" s="94" t="s">
        <v>198</v>
      </c>
      <c r="G109" s="31">
        <f>H109+I109</f>
        <v>51460</v>
      </c>
      <c r="H109" s="31"/>
      <c r="I109" s="31">
        <f>J109</f>
        <v>51460</v>
      </c>
      <c r="J109" s="31">
        <v>51460</v>
      </c>
    </row>
    <row r="110" spans="1:10" ht="94.5">
      <c r="A110" s="98" t="s">
        <v>84</v>
      </c>
      <c r="B110" s="98" t="s">
        <v>728</v>
      </c>
      <c r="C110" s="98" t="s">
        <v>719</v>
      </c>
      <c r="D110" s="102" t="s">
        <v>729</v>
      </c>
      <c r="E110" s="107" t="s">
        <v>247</v>
      </c>
      <c r="F110" s="109" t="s">
        <v>248</v>
      </c>
      <c r="G110" s="31">
        <f t="shared" si="3"/>
        <v>26275</v>
      </c>
      <c r="H110" s="31">
        <f>35698-9423</f>
        <v>26275</v>
      </c>
      <c r="I110" s="31"/>
      <c r="J110" s="31"/>
    </row>
    <row r="111" spans="1:10" ht="42.75" customHeight="1">
      <c r="A111" s="96" t="s">
        <v>797</v>
      </c>
      <c r="B111" s="112"/>
      <c r="C111" s="101"/>
      <c r="D111" s="114" t="s">
        <v>249</v>
      </c>
      <c r="E111" s="102"/>
      <c r="F111" s="94"/>
      <c r="G111" s="33">
        <f>G112</f>
        <v>4887409</v>
      </c>
      <c r="H111" s="33">
        <f>H112</f>
        <v>1692568</v>
      </c>
      <c r="I111" s="33">
        <f>I112</f>
        <v>3194841</v>
      </c>
      <c r="J111" s="33">
        <f>J112</f>
        <v>3194841</v>
      </c>
    </row>
    <row r="112" spans="1:10" ht="43.5" customHeight="1">
      <c r="A112" s="96" t="s">
        <v>799</v>
      </c>
      <c r="B112" s="112"/>
      <c r="C112" s="101"/>
      <c r="D112" s="114" t="s">
        <v>249</v>
      </c>
      <c r="E112" s="102"/>
      <c r="F112" s="94"/>
      <c r="G112" s="33">
        <f aca="true" t="shared" si="4" ref="G112:G120">H112+I112</f>
        <v>4887409</v>
      </c>
      <c r="H112" s="33">
        <f>SUM(H113:H121)</f>
        <v>1692568</v>
      </c>
      <c r="I112" s="33">
        <f>SUM(I113:I121)</f>
        <v>3194841</v>
      </c>
      <c r="J112" s="33">
        <f>SUM(J113:J121)</f>
        <v>3194841</v>
      </c>
    </row>
    <row r="113" spans="1:10" ht="43.5" customHeight="1">
      <c r="A113" s="98" t="s">
        <v>801</v>
      </c>
      <c r="B113" s="98" t="s">
        <v>802</v>
      </c>
      <c r="C113" s="98" t="s">
        <v>764</v>
      </c>
      <c r="D113" s="102" t="s">
        <v>127</v>
      </c>
      <c r="E113" s="442" t="s">
        <v>250</v>
      </c>
      <c r="F113" s="454" t="s">
        <v>251</v>
      </c>
      <c r="G113" s="31">
        <f t="shared" si="4"/>
        <v>16681</v>
      </c>
      <c r="H113" s="31">
        <v>16681</v>
      </c>
      <c r="I113" s="31"/>
      <c r="J113" s="31"/>
    </row>
    <row r="114" spans="1:10" ht="21" customHeight="1">
      <c r="A114" s="98" t="s">
        <v>803</v>
      </c>
      <c r="B114" s="98" t="s">
        <v>804</v>
      </c>
      <c r="C114" s="98" t="s">
        <v>805</v>
      </c>
      <c r="D114" s="102" t="s">
        <v>806</v>
      </c>
      <c r="E114" s="390"/>
      <c r="F114" s="393"/>
      <c r="G114" s="31">
        <f t="shared" si="4"/>
        <v>50419</v>
      </c>
      <c r="H114" s="31">
        <f>50419-40000</f>
        <v>10419</v>
      </c>
      <c r="I114" s="31">
        <f>J114</f>
        <v>40000</v>
      </c>
      <c r="J114" s="31">
        <v>40000</v>
      </c>
    </row>
    <row r="115" spans="1:10" ht="21" customHeight="1">
      <c r="A115" s="98" t="s">
        <v>807</v>
      </c>
      <c r="B115" s="98" t="s">
        <v>808</v>
      </c>
      <c r="C115" s="98" t="s">
        <v>805</v>
      </c>
      <c r="D115" s="102" t="s">
        <v>809</v>
      </c>
      <c r="E115" s="390"/>
      <c r="F115" s="393"/>
      <c r="G115" s="31">
        <f t="shared" si="4"/>
        <v>71659</v>
      </c>
      <c r="H115" s="31">
        <f>22561+22739+26359</f>
        <v>71659</v>
      </c>
      <c r="I115" s="31"/>
      <c r="J115" s="31"/>
    </row>
    <row r="116" spans="1:10" ht="60.75" customHeight="1">
      <c r="A116" s="98" t="s">
        <v>810</v>
      </c>
      <c r="B116" s="98" t="s">
        <v>811</v>
      </c>
      <c r="C116" s="98" t="s">
        <v>812</v>
      </c>
      <c r="D116" s="99" t="s">
        <v>813</v>
      </c>
      <c r="E116" s="391"/>
      <c r="F116" s="388"/>
      <c r="G116" s="31">
        <f t="shared" si="4"/>
        <v>1069481</v>
      </c>
      <c r="H116" s="31">
        <f>19422+46596+46700+49600+28463+11500</f>
        <v>202281</v>
      </c>
      <c r="I116" s="31">
        <f>J116</f>
        <v>867200</v>
      </c>
      <c r="J116" s="31">
        <f>845082+30600-8482</f>
        <v>867200</v>
      </c>
    </row>
    <row r="117" spans="1:10" ht="94.5">
      <c r="A117" s="439" t="s">
        <v>818</v>
      </c>
      <c r="B117" s="448">
        <v>4082</v>
      </c>
      <c r="C117" s="449" t="s">
        <v>816</v>
      </c>
      <c r="D117" s="451" t="s">
        <v>820</v>
      </c>
      <c r="E117" s="99" t="s">
        <v>250</v>
      </c>
      <c r="F117" s="104" t="s">
        <v>251</v>
      </c>
      <c r="G117" s="31">
        <f t="shared" si="4"/>
        <v>1204850</v>
      </c>
      <c r="H117" s="31">
        <f>1105850-12078-12822+107900+16000</f>
        <v>1204850</v>
      </c>
      <c r="I117" s="31"/>
      <c r="J117" s="31"/>
    </row>
    <row r="118" spans="1:10" ht="114.75" customHeight="1">
      <c r="A118" s="439"/>
      <c r="B118" s="448"/>
      <c r="C118" s="450"/>
      <c r="D118" s="451"/>
      <c r="E118" s="99" t="s">
        <v>223</v>
      </c>
      <c r="F118" s="104" t="s">
        <v>355</v>
      </c>
      <c r="G118" s="31">
        <f t="shared" si="4"/>
        <v>106678</v>
      </c>
      <c r="H118" s="31">
        <f>145000+47245-49869-24198-11500</f>
        <v>106678</v>
      </c>
      <c r="I118" s="31"/>
      <c r="J118" s="31"/>
    </row>
    <row r="119" spans="1:10" ht="42" customHeight="1">
      <c r="A119" s="98" t="s">
        <v>154</v>
      </c>
      <c r="B119" s="98" t="s">
        <v>155</v>
      </c>
      <c r="C119" s="98" t="s">
        <v>718</v>
      </c>
      <c r="D119" s="102" t="s">
        <v>156</v>
      </c>
      <c r="E119" s="442" t="s">
        <v>250</v>
      </c>
      <c r="F119" s="454" t="s">
        <v>251</v>
      </c>
      <c r="G119" s="31">
        <f t="shared" si="4"/>
        <v>2087641</v>
      </c>
      <c r="H119" s="31"/>
      <c r="I119" s="31">
        <f>J119</f>
        <v>2087641</v>
      </c>
      <c r="J119" s="31">
        <f>297892+600000+1013643+176106</f>
        <v>2087641</v>
      </c>
    </row>
    <row r="120" spans="1:10" ht="57" customHeight="1">
      <c r="A120" s="98" t="s">
        <v>157</v>
      </c>
      <c r="B120" s="98" t="s">
        <v>158</v>
      </c>
      <c r="C120" s="98" t="s">
        <v>718</v>
      </c>
      <c r="D120" s="102" t="s">
        <v>159</v>
      </c>
      <c r="E120" s="473"/>
      <c r="F120" s="393"/>
      <c r="G120" s="31">
        <f t="shared" si="4"/>
        <v>200000</v>
      </c>
      <c r="H120" s="31"/>
      <c r="I120" s="31">
        <f>J120</f>
        <v>200000</v>
      </c>
      <c r="J120" s="31">
        <f>200000</f>
        <v>200000</v>
      </c>
    </row>
    <row r="121" spans="1:10" ht="46.5" customHeight="1">
      <c r="A121" s="98" t="s">
        <v>821</v>
      </c>
      <c r="B121" s="105">
        <v>7622</v>
      </c>
      <c r="C121" s="101" t="s">
        <v>823</v>
      </c>
      <c r="D121" s="113" t="s">
        <v>252</v>
      </c>
      <c r="E121" s="443"/>
      <c r="F121" s="388"/>
      <c r="G121" s="31">
        <f>H121</f>
        <v>80000</v>
      </c>
      <c r="H121" s="31">
        <f>80000+80000-80000</f>
        <v>80000</v>
      </c>
      <c r="I121" s="31"/>
      <c r="J121" s="31"/>
    </row>
    <row r="122" spans="1:10" ht="41.25" customHeight="1">
      <c r="A122" s="96" t="s">
        <v>825</v>
      </c>
      <c r="B122" s="112"/>
      <c r="C122" s="101"/>
      <c r="D122" s="111" t="s">
        <v>826</v>
      </c>
      <c r="E122" s="107"/>
      <c r="F122" s="109"/>
      <c r="G122" s="33">
        <f>G123</f>
        <v>8117234</v>
      </c>
      <c r="H122" s="33">
        <f>H123</f>
        <v>6763678</v>
      </c>
      <c r="I122" s="33">
        <f>I123</f>
        <v>1353556</v>
      </c>
      <c r="J122" s="33">
        <f>J123</f>
        <v>1353556</v>
      </c>
    </row>
    <row r="123" spans="1:10" ht="40.5" customHeight="1">
      <c r="A123" s="96" t="s">
        <v>827</v>
      </c>
      <c r="B123" s="112"/>
      <c r="C123" s="101"/>
      <c r="D123" s="111" t="s">
        <v>826</v>
      </c>
      <c r="E123" s="107"/>
      <c r="F123" s="109"/>
      <c r="G123" s="33">
        <f>SUM(G124:G136)</f>
        <v>8117234</v>
      </c>
      <c r="H123" s="33">
        <f>SUM(H124:H136)</f>
        <v>6763678</v>
      </c>
      <c r="I123" s="33">
        <f>SUM(I124:I136)</f>
        <v>1353556</v>
      </c>
      <c r="J123" s="33">
        <f>SUM(J124:J136)</f>
        <v>1353556</v>
      </c>
    </row>
    <row r="124" spans="1:10" ht="118.5" customHeight="1">
      <c r="A124" s="98" t="s">
        <v>828</v>
      </c>
      <c r="B124" s="98" t="s">
        <v>749</v>
      </c>
      <c r="C124" s="98" t="s">
        <v>654</v>
      </c>
      <c r="D124" s="102" t="s">
        <v>750</v>
      </c>
      <c r="E124" s="99" t="s">
        <v>189</v>
      </c>
      <c r="F124" s="94" t="s">
        <v>221</v>
      </c>
      <c r="G124" s="31">
        <f>H124+I124</f>
        <v>28000</v>
      </c>
      <c r="H124" s="31">
        <v>28000</v>
      </c>
      <c r="I124" s="31"/>
      <c r="J124" s="33"/>
    </row>
    <row r="125" spans="1:10" ht="84.75" customHeight="1">
      <c r="A125" s="98" t="s">
        <v>829</v>
      </c>
      <c r="B125" s="98" t="s">
        <v>830</v>
      </c>
      <c r="C125" s="101" t="s">
        <v>684</v>
      </c>
      <c r="D125" s="99" t="s">
        <v>831</v>
      </c>
      <c r="E125" s="24" t="s">
        <v>253</v>
      </c>
      <c r="F125" s="104" t="s">
        <v>254</v>
      </c>
      <c r="G125" s="31">
        <f>H125+I125</f>
        <v>100700</v>
      </c>
      <c r="H125" s="31">
        <f>70700+30000</f>
        <v>100700</v>
      </c>
      <c r="I125" s="31"/>
      <c r="J125" s="31"/>
    </row>
    <row r="126" spans="1:10" ht="78.75" hidden="1">
      <c r="A126" s="98" t="s">
        <v>832</v>
      </c>
      <c r="B126" s="98" t="s">
        <v>833</v>
      </c>
      <c r="C126" s="101" t="s">
        <v>684</v>
      </c>
      <c r="D126" s="99" t="s">
        <v>255</v>
      </c>
      <c r="E126" s="99" t="s">
        <v>237</v>
      </c>
      <c r="F126" s="104" t="s">
        <v>238</v>
      </c>
      <c r="G126" s="31">
        <f aca="true" t="shared" si="5" ref="G126:G136">H126+I126</f>
        <v>0</v>
      </c>
      <c r="H126" s="31">
        <f>361200-361200</f>
        <v>0</v>
      </c>
      <c r="I126" s="31"/>
      <c r="J126" s="31"/>
    </row>
    <row r="127" spans="1:10" ht="90" customHeight="1" hidden="1">
      <c r="A127" s="98" t="s">
        <v>175</v>
      </c>
      <c r="B127" s="98" t="s">
        <v>151</v>
      </c>
      <c r="C127" s="98" t="s">
        <v>152</v>
      </c>
      <c r="D127" s="102" t="s">
        <v>153</v>
      </c>
      <c r="E127" s="108" t="s">
        <v>373</v>
      </c>
      <c r="F127" s="104" t="s">
        <v>241</v>
      </c>
      <c r="G127" s="31">
        <f>H127+I127</f>
        <v>0</v>
      </c>
      <c r="H127" s="31">
        <f>11520-11520</f>
        <v>0</v>
      </c>
      <c r="I127" s="31"/>
      <c r="J127" s="31"/>
    </row>
    <row r="128" spans="1:10" ht="108" customHeight="1">
      <c r="A128" s="452">
        <v>1115011</v>
      </c>
      <c r="B128" s="452">
        <v>5011</v>
      </c>
      <c r="C128" s="449" t="s">
        <v>779</v>
      </c>
      <c r="D128" s="460" t="s">
        <v>256</v>
      </c>
      <c r="E128" s="24" t="s">
        <v>257</v>
      </c>
      <c r="F128" s="104" t="s">
        <v>258</v>
      </c>
      <c r="G128" s="31">
        <f t="shared" si="5"/>
        <v>237142</v>
      </c>
      <c r="H128" s="31">
        <f>303040-51659-2780-4525-6934</f>
        <v>237142</v>
      </c>
      <c r="I128" s="31"/>
      <c r="J128" s="31"/>
    </row>
    <row r="129" spans="1:10" ht="96.75" customHeight="1">
      <c r="A129" s="452"/>
      <c r="B129" s="452"/>
      <c r="C129" s="449"/>
      <c r="D129" s="460"/>
      <c r="E129" s="99" t="s">
        <v>223</v>
      </c>
      <c r="F129" s="104" t="s">
        <v>355</v>
      </c>
      <c r="G129" s="31">
        <f t="shared" si="5"/>
        <v>41609</v>
      </c>
      <c r="H129" s="31">
        <f>136960-25200-42151-28000</f>
        <v>41609</v>
      </c>
      <c r="I129" s="31"/>
      <c r="J129" s="31"/>
    </row>
    <row r="130" spans="1:10" ht="102.75" customHeight="1">
      <c r="A130" s="106">
        <v>1115041</v>
      </c>
      <c r="B130" s="106">
        <v>5041</v>
      </c>
      <c r="C130" s="101" t="s">
        <v>779</v>
      </c>
      <c r="D130" s="99" t="s">
        <v>7</v>
      </c>
      <c r="E130" s="24" t="s">
        <v>257</v>
      </c>
      <c r="F130" s="104" t="s">
        <v>258</v>
      </c>
      <c r="G130" s="31">
        <f t="shared" si="5"/>
        <v>4354762</v>
      </c>
      <c r="H130" s="31">
        <f>3651500+85835+199300+73876+12981+49950+183600+14320+71880+11520</f>
        <v>4354762</v>
      </c>
      <c r="I130" s="31"/>
      <c r="J130" s="31"/>
    </row>
    <row r="131" spans="1:10" ht="102.75" customHeight="1">
      <c r="A131" s="452">
        <v>1115062</v>
      </c>
      <c r="B131" s="452">
        <v>5062</v>
      </c>
      <c r="C131" s="449" t="s">
        <v>779</v>
      </c>
      <c r="D131" s="460" t="s">
        <v>259</v>
      </c>
      <c r="E131" s="24" t="s">
        <v>257</v>
      </c>
      <c r="F131" s="104" t="s">
        <v>258</v>
      </c>
      <c r="G131" s="31">
        <f t="shared" si="5"/>
        <v>345640</v>
      </c>
      <c r="H131" s="31">
        <f>100000+245640</f>
        <v>345640</v>
      </c>
      <c r="I131" s="31"/>
      <c r="J131" s="31"/>
    </row>
    <row r="132" spans="1:10" ht="104.25" customHeight="1">
      <c r="A132" s="452"/>
      <c r="B132" s="452"/>
      <c r="C132" s="449"/>
      <c r="D132" s="461"/>
      <c r="E132" s="107" t="s">
        <v>260</v>
      </c>
      <c r="F132" s="104" t="s">
        <v>562</v>
      </c>
      <c r="G132" s="31">
        <f t="shared" si="5"/>
        <v>1651300</v>
      </c>
      <c r="H132" s="31">
        <f>1284560+19550+54298+248892+44000</f>
        <v>1651300</v>
      </c>
      <c r="I132" s="31"/>
      <c r="J132" s="31"/>
    </row>
    <row r="133" spans="1:10" ht="109.5" customHeight="1">
      <c r="A133" s="98" t="s">
        <v>131</v>
      </c>
      <c r="B133" s="98" t="s">
        <v>132</v>
      </c>
      <c r="C133" s="98" t="s">
        <v>718</v>
      </c>
      <c r="D133" s="110" t="s">
        <v>133</v>
      </c>
      <c r="E133" s="24" t="s">
        <v>257</v>
      </c>
      <c r="F133" s="104" t="s">
        <v>258</v>
      </c>
      <c r="G133" s="31">
        <f>H133+I133</f>
        <v>140758</v>
      </c>
      <c r="H133" s="31"/>
      <c r="I133" s="31">
        <f>J133</f>
        <v>140758</v>
      </c>
      <c r="J133" s="31">
        <f>575498+50006-50006-105650-329090</f>
        <v>140758</v>
      </c>
    </row>
    <row r="134" spans="1:10" ht="99" customHeight="1">
      <c r="A134" s="98" t="s">
        <v>123</v>
      </c>
      <c r="B134" s="98" t="s">
        <v>96</v>
      </c>
      <c r="C134" s="98" t="s">
        <v>719</v>
      </c>
      <c r="D134" s="102" t="s">
        <v>97</v>
      </c>
      <c r="E134" s="24" t="s">
        <v>257</v>
      </c>
      <c r="F134" s="104" t="s">
        <v>258</v>
      </c>
      <c r="G134" s="31">
        <f>H134+I134</f>
        <v>892798</v>
      </c>
      <c r="H134" s="31"/>
      <c r="I134" s="31">
        <f>J134</f>
        <v>892798</v>
      </c>
      <c r="J134" s="31">
        <f>174734+738383-20319</f>
        <v>892798</v>
      </c>
    </row>
    <row r="135" spans="1:10" ht="99" customHeight="1">
      <c r="A135" s="98" t="s">
        <v>600</v>
      </c>
      <c r="B135" s="98" t="s">
        <v>100</v>
      </c>
      <c r="C135" s="98" t="s">
        <v>719</v>
      </c>
      <c r="D135" s="251" t="s">
        <v>101</v>
      </c>
      <c r="E135" s="24" t="s">
        <v>257</v>
      </c>
      <c r="F135" s="104" t="s">
        <v>258</v>
      </c>
      <c r="G135" s="31">
        <f>H135+I135</f>
        <v>320000</v>
      </c>
      <c r="H135" s="31"/>
      <c r="I135" s="31">
        <f>J135</f>
        <v>320000</v>
      </c>
      <c r="J135" s="31">
        <v>320000</v>
      </c>
    </row>
    <row r="136" spans="1:10" ht="101.25" customHeight="1">
      <c r="A136" s="106">
        <v>1117693</v>
      </c>
      <c r="B136" s="106">
        <v>7693</v>
      </c>
      <c r="C136" s="101" t="s">
        <v>719</v>
      </c>
      <c r="D136" s="102" t="s">
        <v>729</v>
      </c>
      <c r="E136" s="24" t="s">
        <v>257</v>
      </c>
      <c r="F136" s="104" t="s">
        <v>258</v>
      </c>
      <c r="G136" s="31">
        <f t="shared" si="5"/>
        <v>4525</v>
      </c>
      <c r="H136" s="31">
        <v>4525</v>
      </c>
      <c r="I136" s="31"/>
      <c r="J136" s="31"/>
    </row>
    <row r="137" spans="1:10" ht="36.75" customHeight="1">
      <c r="A137" s="115" t="s">
        <v>14</v>
      </c>
      <c r="B137" s="101"/>
      <c r="C137" s="101"/>
      <c r="D137" s="111" t="s">
        <v>261</v>
      </c>
      <c r="E137" s="99"/>
      <c r="F137" s="94"/>
      <c r="G137" s="33">
        <f>G138</f>
        <v>209527</v>
      </c>
      <c r="H137" s="33">
        <f>H138</f>
        <v>186667</v>
      </c>
      <c r="I137" s="33">
        <f>I138</f>
        <v>22860</v>
      </c>
      <c r="J137" s="33">
        <f>J138</f>
        <v>22860</v>
      </c>
    </row>
    <row r="138" spans="1:10" ht="49.5" customHeight="1">
      <c r="A138" s="115" t="s">
        <v>16</v>
      </c>
      <c r="B138" s="101"/>
      <c r="C138" s="101"/>
      <c r="D138" s="111" t="s">
        <v>261</v>
      </c>
      <c r="E138" s="99"/>
      <c r="F138" s="94"/>
      <c r="G138" s="33">
        <f>SUM(G139:G141)</f>
        <v>209527</v>
      </c>
      <c r="H138" s="33">
        <f>SUM(H139:H141)</f>
        <v>186667</v>
      </c>
      <c r="I138" s="33">
        <f>SUM(I139:I141)</f>
        <v>22860</v>
      </c>
      <c r="J138" s="33">
        <f>SUM(J139:J141)</f>
        <v>22860</v>
      </c>
    </row>
    <row r="139" spans="1:10" ht="106.5" customHeight="1">
      <c r="A139" s="98" t="s">
        <v>177</v>
      </c>
      <c r="B139" s="98" t="s">
        <v>132</v>
      </c>
      <c r="C139" s="98" t="s">
        <v>718</v>
      </c>
      <c r="D139" s="102" t="s">
        <v>133</v>
      </c>
      <c r="E139" s="103" t="s">
        <v>215</v>
      </c>
      <c r="F139" s="109" t="s">
        <v>359</v>
      </c>
      <c r="G139" s="31">
        <f>H139+I139</f>
        <v>22860</v>
      </c>
      <c r="H139" s="31"/>
      <c r="I139" s="31">
        <f>J139</f>
        <v>22860</v>
      </c>
      <c r="J139" s="31">
        <v>22860</v>
      </c>
    </row>
    <row r="140" spans="1:10" ht="110.25" customHeight="1" hidden="1">
      <c r="A140" s="98" t="s">
        <v>176</v>
      </c>
      <c r="B140" s="98" t="s">
        <v>96</v>
      </c>
      <c r="C140" s="98" t="s">
        <v>719</v>
      </c>
      <c r="D140" s="102" t="s">
        <v>97</v>
      </c>
      <c r="E140" s="103" t="s">
        <v>215</v>
      </c>
      <c r="F140" s="109" t="s">
        <v>359</v>
      </c>
      <c r="G140" s="31">
        <f>H140+I140</f>
        <v>0</v>
      </c>
      <c r="H140" s="31"/>
      <c r="I140" s="31">
        <f>J140</f>
        <v>0</v>
      </c>
      <c r="J140" s="31">
        <f>6666667-2000000-1000000-1445833-65146-2155688</f>
        <v>0</v>
      </c>
    </row>
    <row r="141" spans="1:10" ht="96" customHeight="1">
      <c r="A141" s="101" t="s">
        <v>18</v>
      </c>
      <c r="B141" s="98">
        <v>7693</v>
      </c>
      <c r="C141" s="101" t="s">
        <v>719</v>
      </c>
      <c r="D141" s="102" t="s">
        <v>729</v>
      </c>
      <c r="E141" s="99" t="s">
        <v>262</v>
      </c>
      <c r="F141" s="104" t="s">
        <v>263</v>
      </c>
      <c r="G141" s="31">
        <f>H141+I141</f>
        <v>186667</v>
      </c>
      <c r="H141" s="31">
        <f>302398-115731</f>
        <v>186667</v>
      </c>
      <c r="I141" s="31"/>
      <c r="J141" s="31"/>
    </row>
    <row r="142" spans="1:10" ht="41.25" customHeight="1">
      <c r="A142" s="96" t="s">
        <v>19</v>
      </c>
      <c r="B142" s="96"/>
      <c r="C142" s="96"/>
      <c r="D142" s="97" t="s">
        <v>20</v>
      </c>
      <c r="E142" s="99"/>
      <c r="F142" s="104"/>
      <c r="G142" s="33">
        <f>G143</f>
        <v>12373</v>
      </c>
      <c r="H142" s="33">
        <f>H143</f>
        <v>12373</v>
      </c>
      <c r="I142" s="31"/>
      <c r="J142" s="31"/>
    </row>
    <row r="143" spans="1:10" ht="40.5" customHeight="1">
      <c r="A143" s="162" t="s">
        <v>21</v>
      </c>
      <c r="B143" s="162"/>
      <c r="C143" s="162"/>
      <c r="D143" s="258" t="s">
        <v>20</v>
      </c>
      <c r="E143" s="99"/>
      <c r="F143" s="104"/>
      <c r="G143" s="33">
        <f>H143+I143</f>
        <v>12373</v>
      </c>
      <c r="H143" s="33">
        <f>H144</f>
        <v>12373</v>
      </c>
      <c r="I143" s="31"/>
      <c r="J143" s="31"/>
    </row>
    <row r="144" spans="1:10" ht="99" customHeight="1">
      <c r="A144" s="98" t="s">
        <v>22</v>
      </c>
      <c r="B144" s="98" t="s">
        <v>749</v>
      </c>
      <c r="C144" s="98" t="s">
        <v>654</v>
      </c>
      <c r="D144" s="102" t="s">
        <v>23</v>
      </c>
      <c r="E144" s="99" t="s">
        <v>189</v>
      </c>
      <c r="F144" s="94" t="s">
        <v>360</v>
      </c>
      <c r="G144" s="31">
        <f>H144+I144</f>
        <v>12373</v>
      </c>
      <c r="H144" s="31">
        <v>12373</v>
      </c>
      <c r="I144" s="31"/>
      <c r="J144" s="31"/>
    </row>
    <row r="145" spans="1:10" ht="77.25" customHeight="1">
      <c r="A145" s="162" t="s">
        <v>24</v>
      </c>
      <c r="B145" s="162"/>
      <c r="C145" s="162"/>
      <c r="D145" s="163" t="s">
        <v>25</v>
      </c>
      <c r="E145" s="99"/>
      <c r="F145" s="104"/>
      <c r="G145" s="33">
        <f>G146</f>
        <v>4574552</v>
      </c>
      <c r="H145" s="33">
        <f>H146</f>
        <v>2013348</v>
      </c>
      <c r="I145" s="33">
        <f>I146</f>
        <v>2561204</v>
      </c>
      <c r="J145" s="33">
        <f>J146</f>
        <v>2561204</v>
      </c>
    </row>
    <row r="146" spans="1:10" ht="62.25" customHeight="1">
      <c r="A146" s="96" t="s">
        <v>26</v>
      </c>
      <c r="B146" s="96"/>
      <c r="C146" s="96"/>
      <c r="D146" s="116" t="s">
        <v>25</v>
      </c>
      <c r="E146" s="99"/>
      <c r="F146" s="104"/>
      <c r="G146" s="33">
        <f>SUM(G147:G150)</f>
        <v>4574552</v>
      </c>
      <c r="H146" s="33">
        <f>SUM(H147:H150)</f>
        <v>2013348</v>
      </c>
      <c r="I146" s="33">
        <f>SUM(I147:I150)</f>
        <v>2561204</v>
      </c>
      <c r="J146" s="33">
        <f>SUM(J147:J150)</f>
        <v>2561204</v>
      </c>
    </row>
    <row r="147" spans="1:10" ht="93.75" customHeight="1">
      <c r="A147" s="439" t="s">
        <v>28</v>
      </c>
      <c r="B147" s="439" t="s">
        <v>728</v>
      </c>
      <c r="C147" s="439" t="s">
        <v>719</v>
      </c>
      <c r="D147" s="445" t="s">
        <v>264</v>
      </c>
      <c r="E147" s="102" t="s">
        <v>265</v>
      </c>
      <c r="F147" s="104" t="s">
        <v>266</v>
      </c>
      <c r="G147" s="31">
        <f>H147+I147</f>
        <v>598304</v>
      </c>
      <c r="H147" s="31">
        <f>385512+19994+7916+39651+145231</f>
        <v>598304</v>
      </c>
      <c r="I147" s="31"/>
      <c r="J147" s="31"/>
    </row>
    <row r="148" spans="1:10" ht="96.75" customHeight="1">
      <c r="A148" s="440"/>
      <c r="B148" s="440"/>
      <c r="C148" s="440"/>
      <c r="D148" s="447"/>
      <c r="E148" s="99" t="s">
        <v>189</v>
      </c>
      <c r="F148" s="94" t="s">
        <v>360</v>
      </c>
      <c r="G148" s="31">
        <f>H148+I148</f>
        <v>39000</v>
      </c>
      <c r="H148" s="31"/>
      <c r="I148" s="31">
        <f>J148</f>
        <v>39000</v>
      </c>
      <c r="J148" s="31">
        <f>39000</f>
        <v>39000</v>
      </c>
    </row>
    <row r="149" spans="1:10" ht="112.5" customHeight="1">
      <c r="A149" s="125" t="s">
        <v>270</v>
      </c>
      <c r="B149" s="125" t="s">
        <v>271</v>
      </c>
      <c r="C149" s="125" t="s">
        <v>272</v>
      </c>
      <c r="D149" s="126" t="s">
        <v>273</v>
      </c>
      <c r="E149" s="99" t="s">
        <v>189</v>
      </c>
      <c r="F149" s="94" t="s">
        <v>361</v>
      </c>
      <c r="G149" s="31">
        <f>H149+I149</f>
        <v>2836120</v>
      </c>
      <c r="H149" s="213">
        <f>58915+37290+44542+18345+65636+60553+20450+20690+71990</f>
        <v>398411</v>
      </c>
      <c r="I149" s="31">
        <f>J149</f>
        <v>2437709</v>
      </c>
      <c r="J149" s="31">
        <f>15300+69165+1000000+1353244</f>
        <v>2437709</v>
      </c>
    </row>
    <row r="150" spans="1:10" ht="102.75" customHeight="1">
      <c r="A150" s="98" t="s">
        <v>30</v>
      </c>
      <c r="B150" s="98" t="s">
        <v>31</v>
      </c>
      <c r="C150" s="98" t="s">
        <v>732</v>
      </c>
      <c r="D150" s="102" t="s">
        <v>32</v>
      </c>
      <c r="E150" s="102" t="s">
        <v>265</v>
      </c>
      <c r="F150" s="104" t="s">
        <v>266</v>
      </c>
      <c r="G150" s="31">
        <f>H150+I150</f>
        <v>1101128</v>
      </c>
      <c r="H150" s="31">
        <f>200000-18846+20000+100000-9399+200000+165920-19994+88960+128728+19712+141552</f>
        <v>1016633</v>
      </c>
      <c r="I150" s="31">
        <f>J150</f>
        <v>84495</v>
      </c>
      <c r="J150" s="31">
        <f>18846+9399+66012-19712+9950</f>
        <v>84495</v>
      </c>
    </row>
    <row r="151" spans="1:10" ht="69.75" customHeight="1">
      <c r="A151" s="96" t="s">
        <v>33</v>
      </c>
      <c r="B151" s="96"/>
      <c r="C151" s="96"/>
      <c r="D151" s="97" t="s">
        <v>34</v>
      </c>
      <c r="E151" s="99"/>
      <c r="F151" s="94"/>
      <c r="G151" s="33">
        <f>G152</f>
        <v>10986091</v>
      </c>
      <c r="H151" s="33">
        <f>H152</f>
        <v>5649751</v>
      </c>
      <c r="I151" s="33">
        <f>I152</f>
        <v>5336340</v>
      </c>
      <c r="J151" s="33">
        <f>J152</f>
        <v>5336340</v>
      </c>
    </row>
    <row r="152" spans="1:10" ht="80.25" customHeight="1">
      <c r="A152" s="96" t="s">
        <v>35</v>
      </c>
      <c r="B152" s="96"/>
      <c r="C152" s="96"/>
      <c r="D152" s="97" t="s">
        <v>34</v>
      </c>
      <c r="E152" s="99"/>
      <c r="F152" s="94"/>
      <c r="G152" s="33">
        <f>H152+I152</f>
        <v>10986091</v>
      </c>
      <c r="H152" s="33">
        <f>SUM(H153:H163)</f>
        <v>5649751</v>
      </c>
      <c r="I152" s="33">
        <f>SUM(I153:I163)</f>
        <v>5336340</v>
      </c>
      <c r="J152" s="33">
        <f>SUM(J153:J163)</f>
        <v>5336340</v>
      </c>
    </row>
    <row r="153" spans="1:10" ht="113.25" customHeight="1">
      <c r="A153" s="98" t="s">
        <v>178</v>
      </c>
      <c r="B153" s="98" t="s">
        <v>151</v>
      </c>
      <c r="C153" s="98" t="s">
        <v>152</v>
      </c>
      <c r="D153" s="102" t="s">
        <v>153</v>
      </c>
      <c r="E153" s="108" t="s">
        <v>373</v>
      </c>
      <c r="F153" s="104" t="s">
        <v>241</v>
      </c>
      <c r="G153" s="31">
        <f>H153</f>
        <v>37292</v>
      </c>
      <c r="H153" s="31">
        <f>24638+12654</f>
        <v>37292</v>
      </c>
      <c r="I153" s="31"/>
      <c r="J153" s="31"/>
    </row>
    <row r="154" spans="1:10" ht="41.25" customHeight="1">
      <c r="A154" s="98" t="s">
        <v>90</v>
      </c>
      <c r="B154" s="98" t="s">
        <v>699</v>
      </c>
      <c r="C154" s="98" t="s">
        <v>696</v>
      </c>
      <c r="D154" s="102" t="s">
        <v>700</v>
      </c>
      <c r="E154" s="460" t="s">
        <v>267</v>
      </c>
      <c r="F154" s="450" t="s">
        <v>268</v>
      </c>
      <c r="G154" s="31">
        <f aca="true" t="shared" si="6" ref="G154:G163">H154+I154</f>
        <v>44480</v>
      </c>
      <c r="H154" s="31">
        <v>44480</v>
      </c>
      <c r="I154" s="31"/>
      <c r="J154" s="31"/>
    </row>
    <row r="155" spans="1:10" ht="42.75" customHeight="1">
      <c r="A155" s="98" t="s">
        <v>37</v>
      </c>
      <c r="B155" s="98" t="s">
        <v>702</v>
      </c>
      <c r="C155" s="98" t="s">
        <v>696</v>
      </c>
      <c r="D155" s="102" t="s">
        <v>365</v>
      </c>
      <c r="E155" s="468"/>
      <c r="F155" s="330"/>
      <c r="G155" s="31">
        <f t="shared" si="6"/>
        <v>325522</v>
      </c>
      <c r="H155" s="31">
        <f>55000+270522</f>
        <v>325522</v>
      </c>
      <c r="I155" s="31"/>
      <c r="J155" s="31"/>
    </row>
    <row r="156" spans="1:10" ht="39" customHeight="1">
      <c r="A156" s="98" t="s">
        <v>38</v>
      </c>
      <c r="B156" s="98" t="s">
        <v>708</v>
      </c>
      <c r="C156" s="98" t="s">
        <v>696</v>
      </c>
      <c r="D156" s="102" t="s">
        <v>709</v>
      </c>
      <c r="E156" s="468"/>
      <c r="F156" s="330"/>
      <c r="G156" s="31">
        <f t="shared" si="6"/>
        <v>3484337</v>
      </c>
      <c r="H156" s="31">
        <f>2039358+511184+144987-12654+25970+49226+28078</f>
        <v>2786149</v>
      </c>
      <c r="I156" s="31">
        <f aca="true" t="shared" si="7" ref="I156:I162">J156</f>
        <v>698188</v>
      </c>
      <c r="J156" s="31">
        <f>199980+108131+385200+8000-3123</f>
        <v>698188</v>
      </c>
    </row>
    <row r="157" spans="1:10" ht="49.5" customHeight="1">
      <c r="A157" s="98" t="s">
        <v>88</v>
      </c>
      <c r="B157" s="98" t="s">
        <v>89</v>
      </c>
      <c r="C157" s="98" t="s">
        <v>696</v>
      </c>
      <c r="D157" s="102" t="s">
        <v>91</v>
      </c>
      <c r="E157" s="468"/>
      <c r="F157" s="330"/>
      <c r="G157" s="31">
        <f t="shared" si="6"/>
        <v>644374</v>
      </c>
      <c r="H157" s="31">
        <f>199000+299792+49532</f>
        <v>548324</v>
      </c>
      <c r="I157" s="31">
        <f t="shared" si="7"/>
        <v>96050</v>
      </c>
      <c r="J157" s="31">
        <f>75050+21000</f>
        <v>96050</v>
      </c>
    </row>
    <row r="158" spans="1:10" ht="43.5" customHeight="1">
      <c r="A158" s="98" t="s">
        <v>39</v>
      </c>
      <c r="B158" s="98" t="s">
        <v>715</v>
      </c>
      <c r="C158" s="98" t="s">
        <v>716</v>
      </c>
      <c r="D158" s="102" t="s">
        <v>717</v>
      </c>
      <c r="E158" s="469"/>
      <c r="F158" s="470"/>
      <c r="G158" s="31">
        <f t="shared" si="6"/>
        <v>47380</v>
      </c>
      <c r="H158" s="31">
        <f>122576-75196</f>
        <v>47380</v>
      </c>
      <c r="I158" s="31"/>
      <c r="J158" s="31"/>
    </row>
    <row r="159" spans="1:10" ht="37.5" customHeight="1">
      <c r="A159" s="98" t="s">
        <v>85</v>
      </c>
      <c r="B159" s="98" t="s">
        <v>86</v>
      </c>
      <c r="C159" s="98" t="s">
        <v>718</v>
      </c>
      <c r="D159" s="102" t="s">
        <v>87</v>
      </c>
      <c r="E159" s="469"/>
      <c r="F159" s="470"/>
      <c r="G159" s="31">
        <f t="shared" si="6"/>
        <v>324298</v>
      </c>
      <c r="H159" s="31"/>
      <c r="I159" s="31">
        <f t="shared" si="7"/>
        <v>324298</v>
      </c>
      <c r="J159" s="31">
        <f>575278+50000-299792-1188</f>
        <v>324298</v>
      </c>
    </row>
    <row r="160" spans="1:10" ht="34.5" customHeight="1">
      <c r="A160" s="98" t="s">
        <v>40</v>
      </c>
      <c r="B160" s="98" t="s">
        <v>41</v>
      </c>
      <c r="C160" s="98" t="s">
        <v>718</v>
      </c>
      <c r="D160" s="102" t="s">
        <v>42</v>
      </c>
      <c r="E160" s="469"/>
      <c r="F160" s="470"/>
      <c r="G160" s="31">
        <f t="shared" si="6"/>
        <v>2886104</v>
      </c>
      <c r="H160" s="31"/>
      <c r="I160" s="31">
        <f t="shared" si="7"/>
        <v>2886104</v>
      </c>
      <c r="J160" s="31">
        <f>2542137+35459+149976+49950+35500-26890+99972</f>
        <v>2886104</v>
      </c>
    </row>
    <row r="161" spans="1:10" ht="75" customHeight="1">
      <c r="A161" s="98" t="s">
        <v>43</v>
      </c>
      <c r="B161" s="98" t="s">
        <v>44</v>
      </c>
      <c r="C161" s="98" t="s">
        <v>718</v>
      </c>
      <c r="D161" s="102" t="s">
        <v>45</v>
      </c>
      <c r="E161" s="442" t="s">
        <v>267</v>
      </c>
      <c r="F161" s="454" t="s">
        <v>268</v>
      </c>
      <c r="G161" s="31">
        <f t="shared" si="6"/>
        <v>93500</v>
      </c>
      <c r="H161" s="31"/>
      <c r="I161" s="31">
        <f t="shared" si="7"/>
        <v>93500</v>
      </c>
      <c r="J161" s="31">
        <v>93500</v>
      </c>
    </row>
    <row r="162" spans="1:10" ht="80.25" customHeight="1">
      <c r="A162" s="98" t="s">
        <v>46</v>
      </c>
      <c r="B162" s="98" t="s">
        <v>721</v>
      </c>
      <c r="C162" s="98" t="s">
        <v>722</v>
      </c>
      <c r="D162" s="102" t="s">
        <v>723</v>
      </c>
      <c r="E162" s="475"/>
      <c r="F162" s="393"/>
      <c r="G162" s="31">
        <f t="shared" si="6"/>
        <v>3093238</v>
      </c>
      <c r="H162" s="31">
        <f>1609406+225077+190000-151568-17877</f>
        <v>1855038</v>
      </c>
      <c r="I162" s="31">
        <f t="shared" si="7"/>
        <v>1238200</v>
      </c>
      <c r="J162" s="31">
        <f>1189802+48398</f>
        <v>1238200</v>
      </c>
    </row>
    <row r="163" spans="1:10" ht="57.75" customHeight="1">
      <c r="A163" s="98" t="s">
        <v>47</v>
      </c>
      <c r="B163" s="98" t="s">
        <v>728</v>
      </c>
      <c r="C163" s="98" t="s">
        <v>719</v>
      </c>
      <c r="D163" s="102" t="s">
        <v>729</v>
      </c>
      <c r="E163" s="476"/>
      <c r="F163" s="388"/>
      <c r="G163" s="31">
        <f t="shared" si="6"/>
        <v>5566</v>
      </c>
      <c r="H163" s="117">
        <f>3974+1592</f>
        <v>5566</v>
      </c>
      <c r="I163" s="31"/>
      <c r="J163" s="117"/>
    </row>
    <row r="164" spans="1:10" ht="54" customHeight="1">
      <c r="A164" s="162" t="s">
        <v>48</v>
      </c>
      <c r="B164" s="162"/>
      <c r="C164" s="162"/>
      <c r="D164" s="163" t="s">
        <v>49</v>
      </c>
      <c r="E164" s="129"/>
      <c r="F164" s="104"/>
      <c r="G164" s="33">
        <f>G165</f>
        <v>67000</v>
      </c>
      <c r="H164" s="165">
        <f>H165</f>
        <v>67000</v>
      </c>
      <c r="I164" s="33"/>
      <c r="J164" s="165"/>
    </row>
    <row r="165" spans="1:10" ht="57" customHeight="1">
      <c r="A165" s="162" t="s">
        <v>50</v>
      </c>
      <c r="B165" s="162"/>
      <c r="C165" s="162"/>
      <c r="D165" s="163" t="s">
        <v>49</v>
      </c>
      <c r="E165" s="129"/>
      <c r="F165" s="104"/>
      <c r="G165" s="33">
        <f>H165+I165</f>
        <v>67000</v>
      </c>
      <c r="H165" s="165">
        <f>SUM(H166)</f>
        <v>67000</v>
      </c>
      <c r="I165" s="33"/>
      <c r="J165" s="165"/>
    </row>
    <row r="166" spans="1:10" ht="115.5" customHeight="1">
      <c r="A166" s="98" t="s">
        <v>51</v>
      </c>
      <c r="B166" s="98" t="s">
        <v>749</v>
      </c>
      <c r="C166" s="98" t="s">
        <v>654</v>
      </c>
      <c r="D166" s="102" t="s">
        <v>750</v>
      </c>
      <c r="E166" s="99" t="s">
        <v>189</v>
      </c>
      <c r="F166" s="94" t="s">
        <v>360</v>
      </c>
      <c r="G166" s="31">
        <f>H166+I166</f>
        <v>67000</v>
      </c>
      <c r="H166" s="117">
        <v>67000</v>
      </c>
      <c r="I166" s="31"/>
      <c r="J166" s="117"/>
    </row>
    <row r="167" spans="1:10" ht="35.25" customHeight="1">
      <c r="A167" s="162" t="s">
        <v>52</v>
      </c>
      <c r="B167" s="162"/>
      <c r="C167" s="162"/>
      <c r="D167" s="163" t="s">
        <v>53</v>
      </c>
      <c r="E167" s="164"/>
      <c r="F167" s="25"/>
      <c r="G167" s="33">
        <f>G168</f>
        <v>6425185</v>
      </c>
      <c r="H167" s="33">
        <f>H168</f>
        <v>1380198</v>
      </c>
      <c r="I167" s="33">
        <f>I168</f>
        <v>5044987</v>
      </c>
      <c r="J167" s="33">
        <f>J168</f>
        <v>5044987</v>
      </c>
    </row>
    <row r="168" spans="1:10" ht="37.5" customHeight="1">
      <c r="A168" s="96" t="s">
        <v>54</v>
      </c>
      <c r="B168" s="96"/>
      <c r="C168" s="96"/>
      <c r="D168" s="116" t="s">
        <v>53</v>
      </c>
      <c r="E168" s="118"/>
      <c r="F168" s="25"/>
      <c r="G168" s="33">
        <f>G169+G170+G171</f>
        <v>6425185</v>
      </c>
      <c r="H168" s="33">
        <f>H169+H170+H171</f>
        <v>1380198</v>
      </c>
      <c r="I168" s="33">
        <f>I169+I170+I171</f>
        <v>5044987</v>
      </c>
      <c r="J168" s="33">
        <f>J169+J170+J171</f>
        <v>5044987</v>
      </c>
    </row>
    <row r="169" spans="1:10" ht="132" customHeight="1">
      <c r="A169" s="94">
        <v>3718881</v>
      </c>
      <c r="B169" s="94">
        <v>8881</v>
      </c>
      <c r="C169" s="119" t="s">
        <v>719</v>
      </c>
      <c r="D169" s="102" t="s">
        <v>269</v>
      </c>
      <c r="E169" s="99" t="s">
        <v>220</v>
      </c>
      <c r="F169" s="94" t="s">
        <v>221</v>
      </c>
      <c r="G169" s="31">
        <f>H169+I169</f>
        <v>5044987</v>
      </c>
      <c r="H169" s="31"/>
      <c r="I169" s="31">
        <f>J169</f>
        <v>5044987</v>
      </c>
      <c r="J169" s="31">
        <f>4629062+415925</f>
        <v>5044987</v>
      </c>
    </row>
    <row r="170" spans="1:10" ht="99" customHeight="1">
      <c r="A170" s="98" t="s">
        <v>137</v>
      </c>
      <c r="B170" s="98" t="s">
        <v>138</v>
      </c>
      <c r="C170" s="98" t="s">
        <v>660</v>
      </c>
      <c r="D170" s="102" t="s">
        <v>118</v>
      </c>
      <c r="E170" s="442" t="s">
        <v>220</v>
      </c>
      <c r="F170" s="477" t="s">
        <v>221</v>
      </c>
      <c r="G170" s="31">
        <f>H170+I170</f>
        <v>202048</v>
      </c>
      <c r="H170" s="31">
        <v>202048</v>
      </c>
      <c r="I170" s="31"/>
      <c r="J170" s="31"/>
    </row>
    <row r="171" spans="1:10" ht="105.75" customHeight="1">
      <c r="A171" s="98" t="s">
        <v>141</v>
      </c>
      <c r="B171" s="98" t="s">
        <v>142</v>
      </c>
      <c r="C171" s="98" t="s">
        <v>660</v>
      </c>
      <c r="D171" s="102" t="s">
        <v>143</v>
      </c>
      <c r="E171" s="443"/>
      <c r="F171" s="388"/>
      <c r="G171" s="31">
        <f>H171+I171</f>
        <v>1178150</v>
      </c>
      <c r="H171" s="31">
        <f>15000+100000+190000+69650+48500+150000+200000+405000</f>
        <v>1178150</v>
      </c>
      <c r="I171" s="31"/>
      <c r="J171" s="31"/>
    </row>
    <row r="172" spans="1:10" ht="27.75" customHeight="1">
      <c r="A172" s="120" t="s">
        <v>643</v>
      </c>
      <c r="B172" s="120" t="s">
        <v>643</v>
      </c>
      <c r="C172" s="120" t="s">
        <v>643</v>
      </c>
      <c r="D172" s="120" t="s">
        <v>642</v>
      </c>
      <c r="E172" s="120"/>
      <c r="F172" s="121" t="s">
        <v>643</v>
      </c>
      <c r="G172" s="33">
        <f>G21+G74+G93+G111+G122+G137+G145+G151+G167+G164+G142</f>
        <v>193961940</v>
      </c>
      <c r="H172" s="33">
        <f>H21+H74+H93+H111+H122+H137+H145+H151+H167+H164+H142</f>
        <v>131696012</v>
      </c>
      <c r="I172" s="33">
        <f>I21+I74+I93+I111+I122+I137+I145+I151+I167+I164+I142</f>
        <v>62265928</v>
      </c>
      <c r="J172" s="33">
        <f>J21+J74+J93+J111+J122+J137+J145+J151+J167+J164+J142</f>
        <v>54628256</v>
      </c>
    </row>
    <row r="177" spans="3:13" ht="23.25">
      <c r="C177" s="10"/>
      <c r="D177" s="27"/>
      <c r="E177" s="27"/>
      <c r="F177" s="28"/>
      <c r="G177" s="28"/>
      <c r="H177" s="28"/>
      <c r="I177" s="10"/>
      <c r="J177" s="27"/>
      <c r="K177" s="122"/>
      <c r="M177"/>
    </row>
    <row r="178" spans="4:10" ht="18.75">
      <c r="D178" s="27"/>
      <c r="E178" s="27"/>
      <c r="F178" s="123"/>
      <c r="G178" s="27"/>
      <c r="H178" s="27"/>
      <c r="I178" s="27"/>
      <c r="J178" s="27"/>
    </row>
  </sheetData>
  <sheetProtection/>
  <mergeCells count="96">
    <mergeCell ref="E170:E171"/>
    <mergeCell ref="E161:E163"/>
    <mergeCell ref="F13:F19"/>
    <mergeCell ref="G13:G19"/>
    <mergeCell ref="F161:F163"/>
    <mergeCell ref="F170:F171"/>
    <mergeCell ref="E102:E105"/>
    <mergeCell ref="F102:F105"/>
    <mergeCell ref="E113:E116"/>
    <mergeCell ref="F113:F116"/>
    <mergeCell ref="A9:J9"/>
    <mergeCell ref="A13:A19"/>
    <mergeCell ref="B13:B19"/>
    <mergeCell ref="C13:C19"/>
    <mergeCell ref="D13:D19"/>
    <mergeCell ref="E13:E19"/>
    <mergeCell ref="H13:H19"/>
    <mergeCell ref="I13:J17"/>
    <mergeCell ref="I18:I19"/>
    <mergeCell ref="J18:J19"/>
    <mergeCell ref="C45:C46"/>
    <mergeCell ref="D45:D46"/>
    <mergeCell ref="E154:E160"/>
    <mergeCell ref="F154:F160"/>
    <mergeCell ref="C50:C52"/>
    <mergeCell ref="D50:D52"/>
    <mergeCell ref="E119:E121"/>
    <mergeCell ref="F119:F121"/>
    <mergeCell ref="C79:C81"/>
    <mergeCell ref="A50:A52"/>
    <mergeCell ref="B50:B52"/>
    <mergeCell ref="A29:A34"/>
    <mergeCell ref="B29:B34"/>
    <mergeCell ref="B45:B46"/>
    <mergeCell ref="A63:A69"/>
    <mergeCell ref="B63:B69"/>
    <mergeCell ref="A54:A55"/>
    <mergeCell ref="B54:B55"/>
    <mergeCell ref="A60:A61"/>
    <mergeCell ref="B60:B61"/>
    <mergeCell ref="D147:D148"/>
    <mergeCell ref="D54:D55"/>
    <mergeCell ref="C60:C61"/>
    <mergeCell ref="D60:D61"/>
    <mergeCell ref="C77:C78"/>
    <mergeCell ref="D77:D78"/>
    <mergeCell ref="D63:D69"/>
    <mergeCell ref="D131:D132"/>
    <mergeCell ref="D79:D81"/>
    <mergeCell ref="D128:D129"/>
    <mergeCell ref="A82:A83"/>
    <mergeCell ref="B82:B83"/>
    <mergeCell ref="A89:A90"/>
    <mergeCell ref="B89:B90"/>
    <mergeCell ref="E100:E101"/>
    <mergeCell ref="F100:F101"/>
    <mergeCell ref="A79:A81"/>
    <mergeCell ref="B79:B81"/>
    <mergeCell ref="D89:D90"/>
    <mergeCell ref="E95:E99"/>
    <mergeCell ref="F95:F99"/>
    <mergeCell ref="C82:C83"/>
    <mergeCell ref="D82:D83"/>
    <mergeCell ref="C89:C90"/>
    <mergeCell ref="B147:B148"/>
    <mergeCell ref="C147:C148"/>
    <mergeCell ref="A147:A148"/>
    <mergeCell ref="B128:B129"/>
    <mergeCell ref="C128:C129"/>
    <mergeCell ref="A131:A132"/>
    <mergeCell ref="B131:B132"/>
    <mergeCell ref="C131:C132"/>
    <mergeCell ref="A128:A129"/>
    <mergeCell ref="C48:C49"/>
    <mergeCell ref="D48:D49"/>
    <mergeCell ref="A117:A118"/>
    <mergeCell ref="B117:B118"/>
    <mergeCell ref="C117:C118"/>
    <mergeCell ref="D117:D118"/>
    <mergeCell ref="C63:C69"/>
    <mergeCell ref="C54:C55"/>
    <mergeCell ref="A77:A78"/>
    <mergeCell ref="B77:B78"/>
    <mergeCell ref="C23:C24"/>
    <mergeCell ref="D23:D24"/>
    <mergeCell ref="C29:C34"/>
    <mergeCell ref="D29:D34"/>
    <mergeCell ref="C26:C27"/>
    <mergeCell ref="D26:D27"/>
    <mergeCell ref="A48:A49"/>
    <mergeCell ref="B48:B49"/>
    <mergeCell ref="A23:A24"/>
    <mergeCell ref="B23:B24"/>
    <mergeCell ref="A45:A46"/>
    <mergeCell ref="A26:A27"/>
    <mergeCell ref="B26:B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2020-12-14T12:31:06Z</cp:lastPrinted>
  <dcterms:created xsi:type="dcterms:W3CDTF">2019-10-18T11:31:34Z</dcterms:created>
  <dcterms:modified xsi:type="dcterms:W3CDTF">2020-12-14T12:34:15Z</dcterms:modified>
  <cp:category/>
  <cp:version/>
  <cp:contentType/>
  <cp:contentStatus/>
</cp:coreProperties>
</file>