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firstSheet="1" activeTab="5"/>
  </bookViews>
  <sheets>
    <sheet name="дод.1 доходи" sheetId="1" r:id="rId1"/>
    <sheet name="Додаток 2 джерела" sheetId="2" r:id="rId2"/>
    <sheet name="Дод 3 видатки" sheetId="3" r:id="rId3"/>
    <sheet name="дод 4 трансферти" sheetId="4" r:id="rId4"/>
    <sheet name="дод 5 бюджет розвитку" sheetId="5" r:id="rId5"/>
    <sheet name="Дод.6 програма" sheetId="6" r:id="rId6"/>
    <sheet name="Лист5" sheetId="7" r:id="rId7"/>
    <sheet name="Лист7" sheetId="8" r:id="rId8"/>
    <sheet name="Лист8" sheetId="9" r:id="rId9"/>
  </sheets>
  <definedNames>
    <definedName name="_xlfn.AGGREGATE" hidden="1">#NAME?</definedName>
    <definedName name="_xlnm.Print_Titles" localSheetId="2">'Дод 3 видатки'!$4:$10</definedName>
    <definedName name="_xlnm.Print_Titles" localSheetId="3">'дод 4 трансферти'!$A:$B</definedName>
    <definedName name="_xlnm.Print_Titles" localSheetId="4">'дод 5 бюджет розвитку'!$7:$9</definedName>
    <definedName name="_xlnm.Print_Titles" localSheetId="0">'дод.1 доходи'!$7:$9</definedName>
    <definedName name="_xlnm.Print_Titles" localSheetId="5">'Дод.6 програма'!$3:$6</definedName>
    <definedName name="_xlnm.Print_Area" localSheetId="3">'дод 4 трансферти'!$A$1:$AL$25</definedName>
    <definedName name="_xlnm.Print_Area" localSheetId="0">'дод.1 доходи'!$A$1:$F$129</definedName>
  </definedNames>
  <calcPr fullCalcOnLoad="1"/>
</workbook>
</file>

<file path=xl/comments5.xml><?xml version="1.0" encoding="utf-8"?>
<comments xmlns="http://schemas.openxmlformats.org/spreadsheetml/2006/main">
  <authors>
    <author>SEVAK</author>
  </authors>
  <commentList>
    <comment ref="E22"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<sst xmlns="http://schemas.openxmlformats.org/spreadsheetml/2006/main" count="1956" uniqueCount="970">
  <si>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</si>
  <si>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</si>
  <si>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</si>
  <si>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</si>
  <si>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</si>
  <si>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</si>
  <si>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</si>
  <si>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</si>
  <si>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</si>
  <si>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</si>
  <si>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</si>
  <si>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</si>
  <si>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</si>
  <si>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</si>
  <si>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</si>
  <si>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</si>
  <si>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</si>
  <si>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</si>
  <si>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</si>
  <si>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</si>
  <si>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</si>
  <si>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</si>
  <si>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</si>
  <si>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</si>
  <si>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</si>
  <si>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</si>
  <si>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</si>
  <si>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</si>
  <si>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</si>
  <si>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</si>
  <si>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</si>
  <si>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</si>
  <si>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</si>
  <si>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</si>
  <si>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</si>
  <si>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</si>
  <si>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</si>
  <si>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</si>
  <si>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</si>
  <si>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</si>
  <si>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</si>
  <si>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</si>
  <si>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</si>
  <si>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</si>
  <si>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</si>
  <si>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</si>
  <si>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</si>
  <si>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</si>
  <si>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</si>
  <si>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</si>
  <si>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</si>
  <si>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</si>
  <si>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</si>
  <si>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</si>
  <si>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</si>
  <si>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</si>
  <si>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</si>
  <si>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</si>
  <si>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</si>
  <si>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</si>
  <si>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</si>
  <si>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</si>
  <si>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</si>
  <si>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</si>
  <si>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</si>
  <si>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</si>
  <si>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</si>
  <si>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</si>
  <si>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</si>
  <si>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</si>
  <si>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</si>
  <si>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</si>
  <si>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</si>
  <si>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</si>
  <si>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</si>
  <si>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</si>
  <si>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</si>
  <si>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Разом</t>
  </si>
  <si>
    <t>4</t>
  </si>
  <si>
    <t>5</t>
  </si>
  <si>
    <t>6</t>
  </si>
  <si>
    <t>7</t>
  </si>
  <si>
    <t>8</t>
  </si>
  <si>
    <t>9</t>
  </si>
  <si>
    <t>10</t>
  </si>
  <si>
    <t>11</t>
  </si>
  <si>
    <t>12</t>
  </si>
  <si>
    <t>13</t>
  </si>
  <si>
    <t>14</t>
  </si>
  <si>
    <t>Державний бюджет</t>
  </si>
  <si>
    <t>Обласний бюджет</t>
  </si>
  <si>
    <t>Райський сільський бюджет</t>
  </si>
  <si>
    <t>Таврійський міський бюджет</t>
  </si>
  <si>
    <t>О.В. Лук'яненко</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</si>
  <si>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</si>
  <si>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</si>
  <si>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</si>
  <si>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</si>
  <si>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</si>
  <si>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</si>
  <si>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</si>
  <si>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</si>
  <si>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</si>
  <si>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</si>
  <si>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</si>
  <si>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</si>
  <si>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</si>
  <si>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</si>
  <si>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</si>
  <si>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</si>
  <si>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</si>
  <si>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</si>
  <si>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</si>
  <si>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</si>
  <si>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</si>
  <si>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</si>
  <si>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</si>
  <si>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</si>
  <si>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</si>
  <si>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</si>
  <si>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</si>
  <si>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</si>
  <si>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</si>
  <si>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</si>
  <si>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</si>
  <si>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</si>
  <si>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</si>
  <si>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</si>
  <si>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</si>
  <si>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</si>
  <si>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</si>
  <si>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</si>
  <si>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</si>
  <si>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</si>
  <si>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</si>
  <si>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</si>
  <si>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</si>
  <si>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</si>
  <si>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</si>
  <si>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</si>
  <si>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</si>
  <si>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</si>
  <si>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 з місцевих бюджетів іншим місцевим бюджетам</t>
  </si>
  <si>
    <t>Медична субвенція з державного бюджету місцевим бюджетам</t>
  </si>
  <si>
    <t>Освітня субвенція з державного бюджету місцевим бюджетам</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</si>
  <si>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</si>
  <si>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</si>
  <si>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</si>
  <si>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</si>
  <si>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</si>
  <si>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</si>
  <si>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</si>
  <si>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</si>
  <si>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</si>
  <si>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</si>
  <si>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</si>
  <si>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</si>
  <si>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</si>
  <si>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</si>
  <si>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</si>
  <si>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</si>
  <si>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</si>
  <si>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</si>
  <si>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</si>
  <si>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</si>
  <si>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</si>
  <si>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</si>
  <si>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</si>
  <si>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</si>
  <si>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</si>
  <si>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</si>
  <si>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</si>
  <si>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</si>
  <si>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</si>
  <si>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</si>
  <si>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</si>
  <si>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</si>
  <si>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</si>
  <si>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</si>
  <si>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</si>
  <si>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</si>
  <si>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</si>
  <si>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</si>
  <si>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</si>
  <si>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</si>
  <si>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</si>
  <si>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</si>
  <si>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</si>
  <si>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</si>
  <si>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</si>
  <si>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</si>
  <si>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</si>
  <si>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</si>
  <si>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</si>
  <si>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</si>
  <si>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</si>
  <si>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</si>
  <si>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</si>
  <si>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</si>
  <si>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</si>
  <si>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</si>
  <si>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</si>
  <si>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</si>
  <si>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</si>
  <si>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</si>
  <si>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</si>
  <si>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</si>
  <si>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</si>
  <si>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</si>
  <si>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</si>
  <si>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</si>
  <si>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</si>
  <si>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</si>
  <si>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</si>
  <si>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</si>
  <si>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</si>
  <si>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</si>
  <si>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</si>
  <si>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</si>
  <si>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</si>
  <si>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</si>
  <si>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</si>
  <si>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</si>
  <si>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</si>
  <si>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</si>
  <si>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</si>
  <si>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</si>
  <si>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</si>
  <si>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</si>
  <si>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</si>
  <si>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</si>
  <si>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</si>
  <si>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</si>
  <si>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</si>
  <si>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</si>
  <si>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</si>
  <si>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</si>
  <si>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</si>
  <si>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Додаток 4</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</si>
  <si>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</si>
  <si>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</si>
  <si>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</si>
  <si>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</si>
  <si>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</si>
  <si>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</si>
  <si>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</si>
  <si>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у загальноосвітніх закладах</t>
  </si>
  <si>
    <t>підтримка осіб з особливими освітніми потребами</t>
  </si>
  <si>
    <t>15</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</si>
  <si>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</si>
  <si>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підготовка тренерів-педагогів, супервізорів, проведення супервізії та підвищення кваліфікації педагогічних працівників</t>
  </si>
  <si>
    <t>16</t>
  </si>
  <si>
    <t>17</t>
  </si>
  <si>
    <t>цільові кошти для медичного обслуговування внутрішньо-переміщених осіб</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</si>
  <si>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</si>
  <si>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</si>
  <si>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</si>
  <si>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</si>
  <si>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</si>
  <si>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</si>
  <si>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</si>
  <si>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</si>
  <si>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</si>
  <si>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</si>
  <si>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</si>
  <si>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</si>
  <si>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</si>
  <si>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</si>
  <si>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Програма розвитку боксу в місті Нова Каховка на 2019-2021 роки</t>
  </si>
  <si>
    <t>Рішення Новокаховської міської ради від 11.04.2019 р. № 1910</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</si>
  <si>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</si>
  <si>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</si>
  <si>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</si>
  <si>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</si>
  <si>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</si>
  <si>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</si>
  <si>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</si>
  <si>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</si>
  <si>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</si>
  <si>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</si>
  <si>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</si>
  <si>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</si>
  <si>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</si>
  <si>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</si>
  <si>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</si>
  <si>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</si>
  <si>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</si>
  <si>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</si>
  <si>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</si>
  <si>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</si>
  <si>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</si>
  <si>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</si>
  <si>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 xml:space="preserve">Улаштування огрожі скверу меморіального в смт. Дніпряни по вул. Новолагерська </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</si>
  <si>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</si>
  <si>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</si>
  <si>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</si>
  <si>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</si>
  <si>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магістральних теплових мереж з заміною діаметра по вул. Затишна від ТК Є37 в м. Нова Каховка Херсонської області</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</si>
  <si>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</si>
  <si>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</si>
  <si>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</si>
  <si>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</si>
  <si>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</si>
  <si>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</si>
  <si>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</si>
  <si>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</si>
  <si>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</si>
  <si>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</si>
  <si>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</si>
  <si>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</si>
  <si>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</si>
  <si>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</si>
  <si>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Програма вдосконалення системи контролю пасажирського автобусного транспорту в місті Нова Каховка на 2019-2020 роки</t>
  </si>
  <si>
    <t>Улаштування вуличного туалету в с. Нові Лагері</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</si>
  <si>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</si>
  <si>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Рішення Новокаховської міської ради від 16.05.2019 р. № 1969</t>
  </si>
  <si>
    <t>Субвенція з державного бюджету місцевим бюджетам на формування інфраструктури об'єднаних територіальних громад</t>
  </si>
  <si>
    <t>Програма боротьби з онкологічними захворюваннями на 2019-2023 роки</t>
  </si>
  <si>
    <t>Рішення Новокаховської міської ради від 11.04.2019 р. № 1919</t>
  </si>
  <si>
    <t>на реалізацію заходів, спрямованих на підвищення якості освіти за рахунок відповідної субвенції з державного бюджету</t>
  </si>
  <si>
    <t>придбання послуг з доступу до Інтернету закладів загальної середньої освіти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</si>
  <si>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</si>
  <si>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</si>
  <si>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</si>
  <si>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для співфінансування на придбання  персональних комп'ютерів для закладів загальної середньої освіти</t>
  </si>
  <si>
    <t>Реконструкція магістральних теплових мереж з заміною діаметра по вул. Першотравнева від ТК Є22в до Є22б в м. Нова Каховка Херсонської області</t>
  </si>
  <si>
    <t>Рішення Новокаховської міської ради від  02.10.2018 р. № 1496 (зі змінами)</t>
  </si>
  <si>
    <t>1117361</t>
  </si>
  <si>
    <t>Рішення Новокаховської міської ради від 27.06.2019 р. № 2022</t>
  </si>
  <si>
    <t>будівництво спортивного майданчика "Таврія" в       с. Тополівка</t>
  </si>
  <si>
    <t>капітальний ремонт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</si>
  <si>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</si>
  <si>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</si>
  <si>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Субвенція з місцевого бюджету на співфінансування інвестиційних проектів</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</si>
  <si>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</si>
  <si>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</si>
  <si>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3018110</t>
  </si>
  <si>
    <t>8110</t>
  </si>
  <si>
    <t>0320</t>
  </si>
  <si>
    <t>Заходи із запобігання та ліквідації надзвичайних ситуацій та наслідків стихійного лиха</t>
  </si>
  <si>
    <t>на оплату транспортних послуг для участі народного аматорського колективу "Біла акація" у Всеукраїнському фестивалі-конкурсі гумору та народної і авторської жартівливої пісні "Лісапетфест - 2019"</t>
  </si>
  <si>
    <t>3719510</t>
  </si>
  <si>
    <t>9510</t>
  </si>
  <si>
    <t>3719750</t>
  </si>
  <si>
    <t>9750</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</si>
  <si>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 профсоюз спартакіада)</t>
  </si>
  <si>
    <t>Рішення Новокаховської  міської ради від 07.08.2014 р. № 1669 (зі змінами)</t>
  </si>
  <si>
    <t>на реконструкцію водогонів водозабору "Сокіл" в м. Нова Каховка</t>
  </si>
  <si>
    <t>Програма створення, накопичення, зберігання, використання місцевих матеріальних резервів для запобігання та ліквідації надзвичайних ситуацій природного або техногенного характеру та забезпечення населення і територіальних формувань ЦЗ міста засобами радіаційного та хімічного захисту на період до 2025 року</t>
  </si>
  <si>
    <t>до рішення 66-ої сесії</t>
  </si>
  <si>
    <t>7-го скликання міської ради</t>
  </si>
  <si>
    <t>від 22.08.2019р. №2183</t>
  </si>
  <si>
    <t>Додаток 2
до рішення 66-ої сесії                          7-го скликання міської ради                                   від 22.08.2019р. №2183</t>
  </si>
  <si>
    <t>Додаток 3
до рішення 66-ої сесії                          7-го скликання міської ради                                   від 22.08.2019р. №2183</t>
  </si>
  <si>
    <t>міської ради 7-го скликання</t>
  </si>
  <si>
    <t xml:space="preserve">Додаток 5
до рішення 66-ої сесії                          7-го скликання міської ради                                   від 22.08.2019р. №2183 </t>
  </si>
  <si>
    <t>Додаток 6
до рішення 66-ої сесії                          7-го скликання міської ради                                   від 22.08.2019р. №2183</t>
  </si>
  <si>
    <t>Х</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</si>
  <si>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</si>
  <si>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</si>
  <si>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</si>
  <si>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</si>
  <si>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</si>
  <si>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</si>
  <si>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</si>
  <si>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</si>
  <si>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</si>
  <si>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</si>
  <si>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</si>
  <si>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</si>
  <si>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Секретар міської ради</t>
  </si>
  <si>
    <t xml:space="preserve">              О.В. Лук'яненко</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</si>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</sst>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63">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b/>
      <sz val="14"/>
      <name val="Times New Roman Cyr"/>
      <family val="0"/>
    </font>
    <font>
      <b/>
      <sz val="10"/>
      <name val="Times New Roman Cyr"/>
      <family val="1"/>
    </font>
    <font>
      <sz val="12"/>
      <name val="Arial Cyr"/>
      <family val="2"/>
    </font>
    <font>
      <sz val="12"/>
      <color indexed="8"/>
      <name val="Times New Roman"/>
      <family val="1"/>
    </font>
    <font>
      <i/>
      <sz val="12"/>
      <color indexed="8"/>
      <name val="Times New Roman"/>
      <family val="1"/>
    </font>
    <font>
      <sz val="12.5"/>
      <name val="Times New Roman"/>
      <family val="1"/>
    </font>
    <font>
      <b/>
      <sz val="14"/>
      <color indexed="10"/>
      <name val="Times New Roman"/>
      <family val="1"/>
    </font>
    <font>
      <b/>
      <sz val="11"/>
      <name val="Times New Roman"/>
      <family val="1"/>
    </font>
    <font>
      <b/>
      <sz val="9"/>
      <name val="Tahoma"/>
      <family val="2"/>
    </font>
    <font>
      <sz val="9"/>
      <name val="Tahoma"/>
      <family val="2"/>
    </font>
    <font>
      <sz val="12.5"/>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60"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3">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0" fontId="28" fillId="0" borderId="13"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3" fontId="28" fillId="0" borderId="15"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6"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7" xfId="0" applyNumberFormat="1" applyFont="1" applyFill="1" applyBorder="1" applyAlignment="1">
      <alignment horizontal="center" vertical="center"/>
    </xf>
    <xf numFmtId="0" fontId="32" fillId="0" borderId="17" xfId="0" applyFont="1" applyFill="1" applyBorder="1" applyAlignment="1">
      <alignment vertical="center" wrapText="1"/>
    </xf>
    <xf numFmtId="1" fontId="29" fillId="0" borderId="17"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1" fontId="27" fillId="0" borderId="15" xfId="0" applyNumberFormat="1"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6" xfId="0" applyFont="1" applyBorder="1" applyAlignment="1">
      <alignment vertical="center" wrapText="1"/>
    </xf>
    <xf numFmtId="0" fontId="29" fillId="0" borderId="17" xfId="0" applyFont="1" applyFill="1" applyBorder="1" applyAlignment="1">
      <alignment vertical="center" wrapText="1"/>
    </xf>
    <xf numFmtId="49" fontId="29" fillId="0" borderId="18" xfId="0" applyNumberFormat="1" applyFont="1" applyFill="1" applyBorder="1" applyAlignment="1">
      <alignment horizontal="center" vertical="center"/>
    </xf>
    <xf numFmtId="1" fontId="29" fillId="0" borderId="18"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5"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1" fontId="27" fillId="0" borderId="20" xfId="0" applyNumberFormat="1" applyFont="1" applyFill="1" applyBorder="1" applyAlignment="1">
      <alignment horizontal="center" vertical="center"/>
    </xf>
    <xf numFmtId="0" fontId="29" fillId="0" borderId="18" xfId="0" applyFont="1" applyFill="1" applyBorder="1" applyAlignment="1">
      <alignment vertical="center" wrapText="1"/>
    </xf>
    <xf numFmtId="49" fontId="29" fillId="0" borderId="14"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5" xfId="0" applyFont="1" applyFill="1" applyBorder="1" applyAlignment="1">
      <alignment vertical="center" wrapText="1"/>
    </xf>
    <xf numFmtId="0" fontId="32" fillId="0" borderId="18"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8"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5"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8" xfId="0" applyNumberFormat="1"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7" xfId="0" applyNumberFormat="1" applyFont="1" applyFill="1" applyBorder="1" applyAlignment="1">
      <alignment horizontal="center" vertical="center"/>
    </xf>
    <xf numFmtId="0" fontId="44" fillId="0" borderId="17" xfId="0" applyFont="1" applyFill="1" applyBorder="1" applyAlignment="1">
      <alignment vertical="center" wrapText="1"/>
    </xf>
    <xf numFmtId="0" fontId="43" fillId="0" borderId="17" xfId="0" applyFont="1" applyFill="1" applyBorder="1" applyAlignment="1">
      <alignment horizontal="left" vertical="center" wrapText="1"/>
    </xf>
    <xf numFmtId="200" fontId="43" fillId="0" borderId="17" xfId="0" applyNumberFormat="1" applyFont="1" applyFill="1" applyBorder="1" applyAlignment="1">
      <alignment vertical="center" wrapText="1"/>
    </xf>
    <xf numFmtId="3" fontId="43" fillId="0" borderId="17" xfId="95" applyNumberFormat="1" applyFont="1" applyFill="1" applyBorder="1" applyAlignment="1">
      <alignment horizontal="center" vertical="center"/>
      <protection/>
    </xf>
    <xf numFmtId="200" fontId="43" fillId="0" borderId="15"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xf>
    <xf numFmtId="3" fontId="43" fillId="0" borderId="20" xfId="0" applyNumberFormat="1" applyFont="1" applyFill="1" applyBorder="1" applyAlignment="1">
      <alignment horizontal="center" vertical="center" wrapText="1"/>
    </xf>
    <xf numFmtId="0" fontId="43" fillId="0" borderId="16" xfId="0" applyFont="1" applyFill="1" applyBorder="1" applyAlignment="1">
      <alignment vertical="center" wrapText="1"/>
    </xf>
    <xf numFmtId="3" fontId="43" fillId="0" borderId="17" xfId="0" applyNumberFormat="1" applyFont="1" applyFill="1" applyBorder="1" applyAlignment="1">
      <alignment horizontal="center" vertical="center" wrapText="1"/>
    </xf>
    <xf numFmtId="49" fontId="41" fillId="0" borderId="15" xfId="0" applyNumberFormat="1" applyFont="1" applyFill="1" applyBorder="1" applyAlignment="1">
      <alignment horizontal="center" vertical="center"/>
    </xf>
    <xf numFmtId="0" fontId="43" fillId="0" borderId="15" xfId="0" applyNumberFormat="1" applyFont="1" applyFill="1" applyBorder="1" applyAlignment="1" applyProtection="1">
      <alignment horizontal="center"/>
      <protection/>
    </xf>
    <xf numFmtId="49" fontId="43" fillId="0" borderId="15"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200" fontId="43" fillId="0" borderId="15" xfId="0" applyNumberFormat="1" applyFont="1" applyFill="1" applyBorder="1" applyAlignment="1" applyProtection="1">
      <alignment vertical="center" wrapText="1"/>
      <protection/>
    </xf>
    <xf numFmtId="3" fontId="41" fillId="0" borderId="15"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8" xfId="95" applyNumberFormat="1" applyFont="1" applyFill="1" applyBorder="1" applyAlignment="1">
      <alignment horizontal="center" vertical="center"/>
      <protection/>
    </xf>
    <xf numFmtId="0" fontId="43" fillId="0" borderId="17" xfId="0" applyFont="1" applyFill="1" applyBorder="1" applyAlignment="1">
      <alignment vertical="center" wrapText="1"/>
    </xf>
    <xf numFmtId="3" fontId="43" fillId="0" borderId="17" xfId="0" applyNumberFormat="1" applyFont="1" applyFill="1" applyBorder="1" applyAlignment="1" applyProtection="1">
      <alignment horizontal="center" vertical="center"/>
      <protection/>
    </xf>
    <xf numFmtId="0" fontId="41" fillId="0" borderId="15" xfId="0" applyFont="1" applyFill="1" applyBorder="1" applyAlignment="1">
      <alignment horizontal="left" vertical="center" wrapText="1" shrinkToFit="1"/>
    </xf>
    <xf numFmtId="3" fontId="41" fillId="0" borderId="15"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7"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0" fontId="41" fillId="0" borderId="15" xfId="0" applyFont="1" applyFill="1" applyBorder="1" applyAlignment="1">
      <alignment vertical="center" wrapText="1"/>
    </xf>
    <xf numFmtId="3" fontId="41" fillId="0" borderId="15"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5" xfId="0" applyFont="1" applyFill="1" applyBorder="1" applyAlignment="1">
      <alignment vertical="center" wrapText="1"/>
    </xf>
    <xf numFmtId="0" fontId="44" fillId="0" borderId="15" xfId="0" applyFont="1" applyFill="1" applyBorder="1" applyAlignment="1">
      <alignment horizontal="left" vertical="center" wrapText="1"/>
    </xf>
    <xf numFmtId="200" fontId="44" fillId="0" borderId="15" xfId="0" applyNumberFormat="1" applyFont="1" applyFill="1" applyBorder="1" applyAlignment="1">
      <alignment vertical="center" wrapText="1"/>
    </xf>
    <xf numFmtId="3" fontId="42" fillId="0" borderId="15"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5"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3" fontId="41" fillId="0" borderId="26" xfId="0" applyNumberFormat="1" applyFont="1" applyFill="1" applyBorder="1" applyAlignment="1">
      <alignment horizontal="center" vertical="center"/>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8" xfId="0" applyNumberFormat="1" applyFont="1" applyFill="1" applyBorder="1" applyAlignment="1" applyProtection="1">
      <alignment vertical="center" wrapText="1"/>
      <protection/>
    </xf>
    <xf numFmtId="200" fontId="43" fillId="0" borderId="20" xfId="0" applyNumberFormat="1" applyFont="1" applyFill="1" applyBorder="1" applyAlignment="1">
      <alignment vertical="center" wrapText="1"/>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45" fillId="0" borderId="0" xfId="0" applyFont="1" applyAlignment="1">
      <alignment horizontal="center" vertical="center" wrapText="1"/>
    </xf>
    <xf numFmtId="0" fontId="0" fillId="0" borderId="0" xfId="0" applyAlignment="1">
      <alignment wrapText="1"/>
    </xf>
    <xf numFmtId="0" fontId="46"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2" xfId="0" applyNumberFormat="1" applyFont="1" applyBorder="1" applyAlignment="1">
      <alignment horizontal="center"/>
    </xf>
    <xf numFmtId="0" fontId="29" fillId="26" borderId="12" xfId="0" applyFont="1" applyFill="1" applyBorder="1" applyAlignment="1">
      <alignment horizontal="center"/>
    </xf>
    <xf numFmtId="1" fontId="29" fillId="26" borderId="12" xfId="0" applyNumberFormat="1" applyFont="1" applyFill="1" applyBorder="1" applyAlignment="1">
      <alignment horizontal="center"/>
    </xf>
    <xf numFmtId="0" fontId="29" fillId="0" borderId="12"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0" fontId="0" fillId="0" borderId="0" xfId="0" applyAlignment="1">
      <alignment horizontal="center" vertical="center" wrapText="1"/>
    </xf>
    <xf numFmtId="1" fontId="29" fillId="0" borderId="16" xfId="0" applyNumberFormat="1" applyFont="1" applyBorder="1" applyAlignment="1">
      <alignment horizontal="center"/>
    </xf>
    <xf numFmtId="1" fontId="29" fillId="26" borderId="16" xfId="0" applyNumberFormat="1" applyFont="1" applyFill="1" applyBorder="1" applyAlignment="1">
      <alignment horizontal="center"/>
    </xf>
    <xf numFmtId="0" fontId="43" fillId="0" borderId="0" xfId="0" applyFont="1" applyFill="1" applyAlignment="1">
      <alignment/>
    </xf>
    <xf numFmtId="3" fontId="42" fillId="0" borderId="18" xfId="0" applyNumberFormat="1" applyFont="1" applyFill="1" applyBorder="1" applyAlignment="1">
      <alignment horizontal="center" vertical="center" wrapText="1"/>
    </xf>
    <xf numFmtId="3" fontId="44" fillId="0" borderId="17" xfId="0" applyNumberFormat="1"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7"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49" fontId="27" fillId="0" borderId="27" xfId="0" applyNumberFormat="1" applyFont="1" applyFill="1" applyBorder="1" applyAlignment="1">
      <alignment horizontal="center" vertical="center"/>
    </xf>
    <xf numFmtId="1" fontId="27" fillId="0" borderId="28"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6"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30" fillId="0" borderId="30" xfId="0" applyFont="1" applyBorder="1" applyAlignment="1">
      <alignment horizontal="center" vertical="center" wrapText="1"/>
    </xf>
    <xf numFmtId="0" fontId="30" fillId="0" borderId="17" xfId="0" applyFont="1" applyBorder="1" applyAlignment="1">
      <alignment vertical="center" wrapText="1"/>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7" fillId="0" borderId="0" xfId="0" applyFont="1" applyFill="1" applyBorder="1" applyAlignment="1">
      <alignment/>
    </xf>
    <xf numFmtId="0" fontId="47"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8" fillId="0" borderId="12" xfId="0" applyNumberFormat="1" applyFont="1" applyBorder="1" applyAlignment="1">
      <alignment vertical="center" wrapText="1"/>
    </xf>
    <xf numFmtId="3" fontId="49" fillId="0" borderId="12" xfId="0" applyNumberFormat="1" applyFont="1" applyBorder="1" applyAlignment="1">
      <alignment vertical="center" wrapText="1"/>
    </xf>
    <xf numFmtId="0" fontId="49" fillId="0" borderId="12" xfId="0"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8"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8" fillId="0" borderId="16"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9" xfId="0" applyFont="1" applyBorder="1" applyAlignment="1">
      <alignment vertical="center" wrapText="1"/>
    </xf>
    <xf numFmtId="0" fontId="28" fillId="0" borderId="18" xfId="0" applyFont="1" applyBorder="1" applyAlignment="1">
      <alignment horizontal="center" vertical="center"/>
    </xf>
    <xf numFmtId="0" fontId="28" fillId="0" borderId="19" xfId="0" applyFont="1" applyBorder="1" applyAlignment="1">
      <alignment vertical="center"/>
    </xf>
    <xf numFmtId="3" fontId="0" fillId="0" borderId="0" xfId="0" applyNumberFormat="1" applyFont="1" applyFill="1" applyAlignment="1" applyProtection="1">
      <alignment wrapText="1"/>
      <protection/>
    </xf>
    <xf numFmtId="0" fontId="48"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0" fontId="50" fillId="0" borderId="20" xfId="0" applyFont="1" applyBorder="1" applyAlignment="1">
      <alignment vertical="center" wrapText="1"/>
    </xf>
    <xf numFmtId="0" fontId="50" fillId="26" borderId="12" xfId="0" applyFont="1" applyFill="1" applyBorder="1" applyAlignment="1">
      <alignment horizontal="center" vertical="center" wrapText="1"/>
    </xf>
    <xf numFmtId="0" fontId="50" fillId="0" borderId="12" xfId="0" applyFont="1" applyBorder="1" applyAlignment="1">
      <alignment horizontal="center" vertical="center" wrapText="1"/>
    </xf>
    <xf numFmtId="0" fontId="29" fillId="0" borderId="27" xfId="0" applyFont="1" applyBorder="1" applyAlignment="1">
      <alignment horizontal="center" wrapText="1"/>
    </xf>
    <xf numFmtId="0" fontId="29" fillId="0" borderId="12" xfId="0" applyFont="1" applyBorder="1" applyAlignment="1">
      <alignment horizontal="left" wrapText="1"/>
    </xf>
    <xf numFmtId="0" fontId="29" fillId="0" borderId="27" xfId="0" applyFont="1" applyBorder="1" applyAlignment="1">
      <alignment wrapText="1"/>
    </xf>
    <xf numFmtId="0" fontId="29" fillId="0" borderId="12" xfId="0" applyFont="1" applyBorder="1" applyAlignment="1">
      <alignment wrapText="1"/>
    </xf>
    <xf numFmtId="1" fontId="25" fillId="0" borderId="0" xfId="0" applyNumberFormat="1" applyFont="1" applyFill="1" applyBorder="1" applyAlignment="1" applyProtection="1">
      <alignment wrapText="1"/>
      <protection/>
    </xf>
    <xf numFmtId="3" fontId="43" fillId="0" borderId="20" xfId="0" applyNumberFormat="1" applyFont="1" applyFill="1" applyBorder="1" applyAlignment="1" applyProtection="1">
      <alignment horizontal="center" vertical="center"/>
      <protection/>
    </xf>
    <xf numFmtId="3" fontId="42" fillId="0" borderId="18" xfId="0" applyNumberFormat="1" applyFont="1" applyFill="1" applyBorder="1" applyAlignment="1">
      <alignment horizontal="center" vertical="center" wrapText="1"/>
    </xf>
    <xf numFmtId="0" fontId="43" fillId="0" borderId="37" xfId="0" applyFont="1" applyFill="1" applyBorder="1" applyAlignment="1">
      <alignment vertical="center" wrapText="1"/>
    </xf>
    <xf numFmtId="200" fontId="44" fillId="0" borderId="17" xfId="0" applyNumberFormat="1" applyFont="1" applyFill="1" applyBorder="1" applyAlignment="1">
      <alignment vertical="center" wrapText="1"/>
    </xf>
    <xf numFmtId="3" fontId="44" fillId="0" borderId="17" xfId="0" applyNumberFormat="1" applyFont="1" applyFill="1" applyBorder="1" applyAlignment="1">
      <alignment horizontal="center" vertical="center" wrapText="1"/>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51"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3" fontId="38" fillId="0" borderId="12" xfId="0" applyNumberFormat="1" applyFont="1" applyFill="1" applyBorder="1" applyAlignment="1">
      <alignment horizontal="center" vertic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52" fillId="0" borderId="0" xfId="0" applyFont="1" applyBorder="1" applyAlignment="1">
      <alignment horizontal="justify" vertical="center" wrapText="1"/>
    </xf>
    <xf numFmtId="200" fontId="48" fillId="0" borderId="0" xfId="0" applyNumberFormat="1" applyFont="1" applyBorder="1" applyAlignment="1">
      <alignment vertical="justify"/>
    </xf>
    <xf numFmtId="200" fontId="48" fillId="0" borderId="0" xfId="0" applyNumberFormat="1" applyFont="1" applyFill="1" applyBorder="1" applyAlignment="1">
      <alignment vertical="justify"/>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0" fontId="43" fillId="0" borderId="15" xfId="0" applyFont="1" applyFill="1" applyBorder="1" applyAlignment="1">
      <alignment horizontal="center" vertic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29" fillId="0" borderId="12" xfId="0" applyFont="1" applyBorder="1" applyAlignment="1">
      <alignment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7"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8" xfId="0" applyNumberFormat="1" applyFont="1" applyFill="1" applyBorder="1" applyAlignment="1">
      <alignment horizontal="center" vertical="center" wrapText="1"/>
    </xf>
    <xf numFmtId="3" fontId="41" fillId="0" borderId="20"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8"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0" fontId="41" fillId="0" borderId="15" xfId="0" applyFont="1" applyFill="1" applyBorder="1" applyAlignment="1">
      <alignment horizontal="center" vertical="center" wrapText="1"/>
    </xf>
    <xf numFmtId="49" fontId="27" fillId="0" borderId="15" xfId="0" applyNumberFormat="1" applyFont="1" applyFill="1" applyBorder="1" applyAlignment="1" applyProtection="1">
      <alignment horizontal="center" vertical="center"/>
      <protection/>
    </xf>
    <xf numFmtId="1" fontId="43" fillId="0" borderId="17"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0" fontId="50" fillId="0" borderId="22" xfId="0" applyFont="1" applyBorder="1" applyAlignment="1">
      <alignment horizontal="center" vertical="center" wrapText="1"/>
    </xf>
    <xf numFmtId="3" fontId="29" fillId="0" borderId="12" xfId="0" applyNumberFormat="1" applyFont="1" applyBorder="1" applyAlignment="1">
      <alignment horizontal="center"/>
    </xf>
    <xf numFmtId="3" fontId="29" fillId="26" borderId="12" xfId="0" applyNumberFormat="1" applyFont="1" applyFill="1" applyBorder="1" applyAlignment="1">
      <alignment horizontal="center"/>
    </xf>
    <xf numFmtId="3" fontId="29" fillId="26" borderId="0" xfId="0" applyNumberFormat="1" applyFont="1" applyFill="1" applyBorder="1" applyAlignment="1">
      <alignment horizontal="center"/>
    </xf>
    <xf numFmtId="3" fontId="29" fillId="26" borderId="16" xfId="0" applyNumberFormat="1" applyFont="1" applyFill="1" applyBorder="1" applyAlignment="1">
      <alignment horizontal="center"/>
    </xf>
    <xf numFmtId="3" fontId="29" fillId="0" borderId="28" xfId="0" applyNumberFormat="1" applyFont="1" applyBorder="1" applyAlignment="1">
      <alignment horizontal="center"/>
    </xf>
    <xf numFmtId="3" fontId="27" fillId="0" borderId="17" xfId="0" applyNumberFormat="1" applyFont="1" applyBorder="1" applyAlignment="1">
      <alignment horizontal="center" wrapText="1"/>
    </xf>
    <xf numFmtId="3" fontId="27" fillId="26" borderId="17" xfId="0" applyNumberFormat="1" applyFont="1" applyFill="1" applyBorder="1" applyAlignment="1">
      <alignment horizontal="center"/>
    </xf>
    <xf numFmtId="3" fontId="27" fillId="26" borderId="38" xfId="0" applyNumberFormat="1" applyFont="1" applyFill="1" applyBorder="1" applyAlignment="1">
      <alignment horizontal="center"/>
    </xf>
    <xf numFmtId="3" fontId="27" fillId="0" borderId="31" xfId="0" applyNumberFormat="1" applyFont="1" applyBorder="1" applyAlignment="1">
      <alignment horizontal="center" wrapText="1"/>
    </xf>
    <xf numFmtId="0" fontId="27" fillId="26" borderId="0" xfId="0" applyFont="1" applyFill="1" applyBorder="1" applyAlignment="1">
      <alignment horizontal="center" vertical="center" wrapText="1"/>
    </xf>
    <xf numFmtId="49" fontId="27" fillId="26" borderId="0" xfId="0" applyNumberFormat="1" applyFont="1" applyFill="1" applyBorder="1" applyAlignment="1">
      <alignment horizontal="center" vertical="center" wrapText="1"/>
    </xf>
    <xf numFmtId="0" fontId="27" fillId="26" borderId="0" xfId="0" applyFont="1" applyFill="1" applyBorder="1" applyAlignment="1">
      <alignment horizontal="justify" vertical="center" wrapText="1"/>
    </xf>
    <xf numFmtId="200" fontId="38" fillId="26" borderId="0" xfId="0" applyNumberFormat="1" applyFont="1" applyFill="1" applyBorder="1" applyAlignment="1">
      <alignment horizontal="center" vertical="center"/>
    </xf>
    <xf numFmtId="200"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44" fillId="0" borderId="12" xfId="0" applyFont="1" applyBorder="1" applyAlignment="1">
      <alignment vertical="center" wrapText="1"/>
    </xf>
    <xf numFmtId="0" fontId="28" fillId="0" borderId="0" xfId="0" applyNumberFormat="1" applyFont="1" applyFill="1" applyAlignment="1" applyProtection="1">
      <alignment horizontal="left" vertical="center" wrapText="1"/>
      <protection/>
    </xf>
    <xf numFmtId="0" fontId="28" fillId="0" borderId="12" xfId="0" applyFont="1" applyBorder="1" applyAlignment="1">
      <alignment horizontal="center" wrapText="1"/>
    </xf>
    <xf numFmtId="49" fontId="43" fillId="0" borderId="33" xfId="0" applyNumberFormat="1" applyFont="1" applyFill="1" applyBorder="1" applyAlignment="1">
      <alignment horizontal="center" vertical="center"/>
    </xf>
    <xf numFmtId="3" fontId="43" fillId="0" borderId="20" xfId="95" applyNumberFormat="1" applyFont="1" applyFill="1" applyBorder="1" applyAlignment="1">
      <alignment horizontal="center" vertical="center"/>
      <protection/>
    </xf>
    <xf numFmtId="49" fontId="44" fillId="0" borderId="12" xfId="0" applyNumberFormat="1" applyFont="1" applyFill="1" applyBorder="1" applyAlignment="1">
      <alignment horizontal="center" vertical="center" wrapText="1"/>
    </xf>
    <xf numFmtId="49" fontId="44"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0" fontId="28" fillId="0" borderId="27" xfId="0" applyFont="1" applyBorder="1" applyAlignment="1">
      <alignment horizontal="center" wrapText="1"/>
    </xf>
    <xf numFmtId="1" fontId="28" fillId="0" borderId="12" xfId="0" applyNumberFormat="1" applyFont="1" applyBorder="1" applyAlignment="1">
      <alignment horizontal="center"/>
    </xf>
    <xf numFmtId="49" fontId="28" fillId="26" borderId="12" xfId="0" applyNumberFormat="1" applyFont="1" applyFill="1" applyBorder="1" applyAlignment="1">
      <alignment horizontal="center"/>
    </xf>
    <xf numFmtId="49" fontId="28" fillId="26" borderId="16" xfId="0" applyNumberFormat="1" applyFont="1" applyFill="1" applyBorder="1" applyAlignment="1">
      <alignment horizontal="center"/>
    </xf>
    <xf numFmtId="1" fontId="28" fillId="0" borderId="16" xfId="0" applyNumberFormat="1" applyFont="1" applyBorder="1" applyAlignment="1">
      <alignment horizontal="center"/>
    </xf>
    <xf numFmtId="1" fontId="28" fillId="0" borderId="28" xfId="0" applyNumberFormat="1" applyFont="1" applyBorder="1" applyAlignment="1">
      <alignment horizontal="center"/>
    </xf>
    <xf numFmtId="1" fontId="28" fillId="0" borderId="22" xfId="0" applyNumberFormat="1" applyFont="1" applyBorder="1" applyAlignment="1">
      <alignment horizontal="center"/>
    </xf>
    <xf numFmtId="0" fontId="43" fillId="0" borderId="39" xfId="0" applyFont="1" applyFill="1" applyBorder="1" applyAlignment="1">
      <alignment vertical="center" wrapText="1"/>
    </xf>
    <xf numFmtId="49" fontId="43" fillId="0" borderId="27" xfId="0" applyNumberFormat="1" applyFont="1" applyFill="1" applyBorder="1" applyAlignment="1">
      <alignment horizontal="center" vertical="center"/>
    </xf>
    <xf numFmtId="3" fontId="27" fillId="0" borderId="0" xfId="0" applyNumberFormat="1" applyFont="1" applyBorder="1" applyAlignment="1">
      <alignment horizontal="center" wrapText="1"/>
    </xf>
    <xf numFmtId="3" fontId="27" fillId="26" borderId="0" xfId="0" applyNumberFormat="1" applyFont="1" applyFill="1" applyBorder="1" applyAlignment="1">
      <alignment horizontal="center"/>
    </xf>
    <xf numFmtId="3" fontId="25" fillId="0" borderId="0" xfId="0" applyNumberFormat="1" applyFont="1" applyFill="1" applyBorder="1" applyAlignment="1">
      <alignment wrapText="1"/>
    </xf>
    <xf numFmtId="3" fontId="29" fillId="0" borderId="28" xfId="0" applyNumberFormat="1" applyFont="1" applyFill="1" applyBorder="1" applyAlignment="1">
      <alignment horizontal="center"/>
    </xf>
    <xf numFmtId="0" fontId="0" fillId="0" borderId="0" xfId="0" applyAlignment="1">
      <alignment horizontal="center" vertical="center"/>
    </xf>
    <xf numFmtId="0" fontId="50" fillId="0" borderId="40" xfId="0" applyFont="1" applyBorder="1" applyAlignment="1">
      <alignment horizontal="center" vertical="center" wrapText="1"/>
    </xf>
    <xf numFmtId="0" fontId="50" fillId="26" borderId="18" xfId="0" applyFont="1" applyFill="1" applyBorder="1" applyAlignment="1">
      <alignment horizontal="center" vertical="center" wrapText="1"/>
    </xf>
    <xf numFmtId="0" fontId="0" fillId="0" borderId="20" xfId="0" applyBorder="1" applyAlignment="1">
      <alignment/>
    </xf>
    <xf numFmtId="0" fontId="0" fillId="0" borderId="15" xfId="0" applyBorder="1" applyAlignment="1">
      <alignment/>
    </xf>
    <xf numFmtId="0" fontId="50" fillId="0" borderId="21" xfId="0" applyFont="1" applyBorder="1" applyAlignment="1">
      <alignment horizontal="center" vertical="center" wrapText="1"/>
    </xf>
    <xf numFmtId="0" fontId="50" fillId="0" borderId="41" xfId="0" applyFont="1" applyBorder="1" applyAlignment="1">
      <alignment wrapText="1"/>
    </xf>
    <xf numFmtId="0" fontId="50" fillId="0" borderId="40" xfId="0" applyFont="1" applyBorder="1" applyAlignment="1">
      <alignment wrapText="1"/>
    </xf>
    <xf numFmtId="0" fontId="50" fillId="0" borderId="21" xfId="0" applyFont="1" applyBorder="1" applyAlignment="1">
      <alignment wrapText="1"/>
    </xf>
    <xf numFmtId="49" fontId="50" fillId="26" borderId="22" xfId="0" applyNumberFormat="1" applyFont="1" applyFill="1" applyBorder="1" applyAlignment="1">
      <alignment horizontal="center" vertical="center" wrapText="1"/>
    </xf>
    <xf numFmtId="0" fontId="50" fillId="0" borderId="16" xfId="0" applyFont="1" applyBorder="1" applyAlignment="1">
      <alignment horizontal="center" vertical="center" wrapText="1"/>
    </xf>
    <xf numFmtId="0" fontId="55" fillId="0" borderId="18" xfId="0" applyFont="1" applyBorder="1" applyAlignment="1">
      <alignment horizontal="center" vertical="center" wrapText="1"/>
    </xf>
    <xf numFmtId="0" fontId="50" fillId="26" borderId="39" xfId="0" applyFont="1" applyFill="1" applyBorder="1" applyAlignment="1">
      <alignment horizontal="center" vertical="center" wrapText="1"/>
    </xf>
    <xf numFmtId="0" fontId="50" fillId="26" borderId="18" xfId="0" applyNumberFormat="1" applyFont="1" applyFill="1" applyBorder="1" applyAlignment="1">
      <alignment horizontal="center" vertical="center" wrapText="1"/>
    </xf>
    <xf numFmtId="0" fontId="50" fillId="0" borderId="20" xfId="0" applyFont="1" applyBorder="1" applyAlignment="1">
      <alignment horizontal="center" vertical="center"/>
    </xf>
    <xf numFmtId="0" fontId="50" fillId="0" borderId="15" xfId="0" applyFont="1" applyBorder="1" applyAlignment="1">
      <alignment horizontal="center" vertical="center"/>
    </xf>
    <xf numFmtId="0" fontId="50" fillId="26" borderId="12" xfId="0"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14" xfId="0" applyFont="1" applyBorder="1" applyAlignment="1">
      <alignment horizontal="center" wrapText="1"/>
    </xf>
    <xf numFmtId="0" fontId="50" fillId="0" borderId="16" xfId="0" applyFont="1" applyBorder="1" applyAlignment="1">
      <alignment horizontal="center" wrapText="1"/>
    </xf>
    <xf numFmtId="49" fontId="50" fillId="26" borderId="12" xfId="0" applyNumberFormat="1" applyFont="1" applyFill="1" applyBorder="1" applyAlignment="1">
      <alignment horizontal="center" vertical="center" wrapText="1"/>
    </xf>
    <xf numFmtId="0" fontId="50" fillId="0" borderId="12" xfId="0" applyFont="1" applyBorder="1" applyAlignment="1">
      <alignment wrapText="1"/>
    </xf>
    <xf numFmtId="0" fontId="50" fillId="0" borderId="18" xfId="0" applyFont="1" applyBorder="1" applyAlignment="1">
      <alignment horizontal="center" vertical="center" wrapText="1"/>
    </xf>
    <xf numFmtId="0" fontId="0" fillId="0" borderId="12" xfId="0" applyFont="1" applyFill="1" applyBorder="1" applyAlignment="1">
      <alignment/>
    </xf>
    <xf numFmtId="0" fontId="55" fillId="0" borderId="42" xfId="0" applyFont="1" applyBorder="1" applyAlignment="1">
      <alignment horizontal="center" vertical="center"/>
    </xf>
    <xf numFmtId="0" fontId="55" fillId="0" borderId="34" xfId="0" applyFont="1" applyBorder="1" applyAlignment="1">
      <alignment horizontal="center" vertical="center"/>
    </xf>
    <xf numFmtId="0" fontId="50" fillId="0" borderId="34" xfId="0" applyFont="1" applyBorder="1" applyAlignment="1">
      <alignment/>
    </xf>
    <xf numFmtId="0" fontId="50" fillId="0" borderId="29" xfId="0" applyFont="1" applyBorder="1" applyAlignment="1">
      <alignment/>
    </xf>
    <xf numFmtId="0" fontId="55" fillId="0" borderId="43" xfId="0" applyFont="1" applyBorder="1" applyAlignment="1">
      <alignment horizontal="center" vertical="center" wrapText="1"/>
    </xf>
    <xf numFmtId="0" fontId="55" fillId="0" borderId="20" xfId="0" applyFont="1" applyBorder="1" applyAlignment="1">
      <alignment horizontal="center" vertical="center" wrapText="1"/>
    </xf>
    <xf numFmtId="0" fontId="50" fillId="0" borderId="20" xfId="0" applyFont="1" applyBorder="1" applyAlignment="1">
      <alignment wrapText="1"/>
    </xf>
    <xf numFmtId="0" fontId="50" fillId="0" borderId="15" xfId="0" applyFont="1" applyBorder="1" applyAlignment="1">
      <alignment wrapText="1"/>
    </xf>
    <xf numFmtId="0" fontId="50" fillId="0" borderId="22" xfId="0" applyFont="1" applyBorder="1" applyAlignment="1">
      <alignment horizontal="center" vertical="center" wrapText="1"/>
    </xf>
    <xf numFmtId="0" fontId="50" fillId="0" borderId="14" xfId="0" applyFont="1" applyBorder="1" applyAlignment="1">
      <alignment/>
    </xf>
    <xf numFmtId="0" fontId="50" fillId="0" borderId="16" xfId="0" applyFont="1" applyBorder="1" applyAlignment="1">
      <alignment/>
    </xf>
    <xf numFmtId="49" fontId="50" fillId="26" borderId="18" xfId="0" applyNumberFormat="1" applyFont="1" applyFill="1" applyBorder="1" applyAlignment="1">
      <alignment horizontal="center" vertical="center" wrapText="1"/>
    </xf>
    <xf numFmtId="0" fontId="50" fillId="0" borderId="20"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2" xfId="0" applyFont="1" applyBorder="1" applyAlignment="1">
      <alignment horizontal="center" vertical="center" wrapText="1"/>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14" xfId="0" applyFont="1" applyBorder="1" applyAlignment="1">
      <alignment horizontal="lef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30" fillId="0" borderId="22" xfId="107" applyFont="1" applyBorder="1" applyAlignment="1">
      <alignment wrapText="1"/>
      <protection/>
    </xf>
    <xf numFmtId="0" fontId="19" fillId="0" borderId="14" xfId="0" applyFont="1" applyBorder="1" applyAlignment="1">
      <alignment wrapText="1"/>
    </xf>
    <xf numFmtId="0" fontId="19" fillId="0" borderId="16"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49" fontId="25" fillId="0" borderId="44"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25" fillId="0" borderId="45"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50" fillId="0" borderId="41"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12" xfId="0" applyFont="1" applyBorder="1" applyAlignment="1">
      <alignment horizontal="center" wrapText="1"/>
    </xf>
    <xf numFmtId="0" fontId="45" fillId="0" borderId="0" xfId="0" applyFont="1" applyAlignment="1">
      <alignment horizontal="center" vertical="center"/>
    </xf>
    <xf numFmtId="0" fontId="0" fillId="0" borderId="0" xfId="0" applyAlignment="1">
      <alignment horizontal="center" vertical="center"/>
    </xf>
    <xf numFmtId="49" fontId="50" fillId="26" borderId="22" xfId="0" applyNumberFormat="1" applyFont="1" applyFill="1" applyBorder="1" applyAlignment="1">
      <alignment horizontal="center" wrapText="1"/>
    </xf>
    <xf numFmtId="49" fontId="50" fillId="26" borderId="14" xfId="0" applyNumberFormat="1" applyFont="1" applyFill="1" applyBorder="1" applyAlignment="1">
      <alignment horizontal="center" wrapText="1"/>
    </xf>
    <xf numFmtId="0" fontId="50" fillId="0" borderId="20" xfId="0" applyFont="1" applyBorder="1" applyAlignment="1">
      <alignment horizontal="center" wrapText="1"/>
    </xf>
    <xf numFmtId="0" fontId="50" fillId="0" borderId="15" xfId="0" applyFont="1" applyBorder="1" applyAlignment="1">
      <alignment horizontal="center" wrapText="1"/>
    </xf>
    <xf numFmtId="2" fontId="50" fillId="0" borderId="18" xfId="0" applyNumberFormat="1" applyFont="1" applyBorder="1" applyAlignment="1">
      <alignment horizontal="center" vertical="center" wrapText="1"/>
    </xf>
    <xf numFmtId="2" fontId="50" fillId="0" borderId="20" xfId="0" applyNumberFormat="1" applyFont="1" applyBorder="1" applyAlignment="1">
      <alignment horizontal="center" vertical="center" wrapText="1"/>
    </xf>
    <xf numFmtId="0" fontId="50" fillId="0" borderId="47" xfId="0" applyFont="1" applyBorder="1" applyAlignment="1">
      <alignment horizontal="center" vertical="center" wrapText="1"/>
    </xf>
    <xf numFmtId="0" fontId="50" fillId="0" borderId="23" xfId="0" applyFont="1" applyBorder="1" applyAlignment="1">
      <alignment horizontal="center" wrapText="1"/>
    </xf>
    <xf numFmtId="0" fontId="50" fillId="0" borderId="45" xfId="0" applyFont="1" applyBorder="1" applyAlignment="1">
      <alignment horizontal="center" wrapText="1"/>
    </xf>
    <xf numFmtId="0" fontId="50" fillId="0" borderId="28" xfId="0" applyFont="1" applyBorder="1" applyAlignment="1">
      <alignment horizontal="center" vertical="center" wrapText="1"/>
    </xf>
    <xf numFmtId="0" fontId="50" fillId="0" borderId="28" xfId="0" applyFont="1" applyBorder="1" applyAlignment="1">
      <alignment horizontal="center" wrapText="1"/>
    </xf>
    <xf numFmtId="0" fontId="50" fillId="26" borderId="48" xfId="0" applyFont="1" applyFill="1" applyBorder="1" applyAlignment="1">
      <alignment horizontal="center" vertical="center" wrapText="1"/>
    </xf>
    <xf numFmtId="0" fontId="50" fillId="0" borderId="49" xfId="0" applyFont="1" applyBorder="1" applyAlignment="1">
      <alignment horizontal="center" wrapText="1"/>
    </xf>
    <xf numFmtId="0" fontId="50" fillId="0" borderId="47" xfId="0" applyFont="1" applyBorder="1" applyAlignment="1">
      <alignment horizontal="center" wrapText="1"/>
    </xf>
    <xf numFmtId="0" fontId="50" fillId="0" borderId="23" xfId="0" applyFont="1" applyBorder="1" applyAlignment="1">
      <alignment/>
    </xf>
    <xf numFmtId="0" fontId="50" fillId="0" borderId="18" xfId="0" applyFont="1" applyFill="1" applyBorder="1" applyAlignment="1">
      <alignment horizontal="center" vertical="center" wrapText="1"/>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29" fillId="0" borderId="12" xfId="0" applyFont="1" applyFill="1" applyBorder="1" applyAlignment="1">
      <alignment vertical="center" wrapText="1"/>
    </xf>
    <xf numFmtId="0" fontId="0" fillId="0" borderId="12" xfId="0" applyBorder="1" applyAlignment="1">
      <alignment vertical="center" wrapText="1"/>
    </xf>
    <xf numFmtId="49" fontId="29" fillId="26"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49" fontId="29" fillId="26"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29" fillId="26"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0" fontId="29" fillId="26" borderId="12" xfId="0" applyFont="1" applyFill="1" applyBorder="1" applyAlignment="1">
      <alignment vertical="center" wrapText="1"/>
    </xf>
    <xf numFmtId="0" fontId="0" fillId="0" borderId="12" xfId="0" applyFont="1" applyBorder="1" applyAlignment="1">
      <alignment vertical="center" wrapText="1"/>
    </xf>
    <xf numFmtId="0" fontId="0" fillId="26" borderId="12" xfId="0" applyFont="1" applyFill="1" applyBorder="1" applyAlignment="1">
      <alignment horizontal="center" vertical="center" wrapText="1"/>
    </xf>
    <xf numFmtId="0" fontId="0" fillId="26" borderId="12" xfId="0" applyFont="1" applyFill="1" applyBorder="1" applyAlignment="1">
      <alignment horizontal="center"/>
    </xf>
    <xf numFmtId="0" fontId="0" fillId="26" borderId="12" xfId="0"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xf>
    <xf numFmtId="0" fontId="43" fillId="0" borderId="12" xfId="0"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5" xfId="0" applyFont="1" applyFill="1" applyBorder="1" applyAlignment="1">
      <alignment horizontal="left" vertical="center" wrapText="1"/>
    </xf>
    <xf numFmtId="49" fontId="43" fillId="0" borderId="18" xfId="0" applyNumberFormat="1" applyFont="1" applyFill="1" applyBorder="1" applyAlignment="1">
      <alignment horizontal="center" vertical="center"/>
    </xf>
    <xf numFmtId="0" fontId="43" fillId="0" borderId="15" xfId="0" applyFont="1" applyFill="1" applyBorder="1" applyAlignment="1">
      <alignment horizontal="center" vertical="center"/>
    </xf>
    <xf numFmtId="49" fontId="43" fillId="0" borderId="18" xfId="0" applyNumberFormat="1" applyFont="1" applyFill="1" applyBorder="1" applyAlignment="1" applyProtection="1">
      <alignment horizontal="center" vertical="center"/>
      <protection/>
    </xf>
    <xf numFmtId="49" fontId="43" fillId="0" borderId="18"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0" fillId="0" borderId="16" xfId="0" applyFill="1" applyBorder="1" applyAlignment="1">
      <alignment horizontal="center" vertical="center" wrapText="1"/>
    </xf>
    <xf numFmtId="0" fontId="43" fillId="0" borderId="12" xfId="0" applyFont="1" applyFill="1" applyBorder="1" applyAlignment="1">
      <alignment horizontal="center" vertical="center"/>
    </xf>
    <xf numFmtId="0" fontId="43" fillId="0" borderId="18" xfId="0" applyFont="1" applyFill="1" applyBorder="1" applyAlignment="1">
      <alignment vertical="center" wrapText="1"/>
    </xf>
    <xf numFmtId="0" fontId="43" fillId="0" borderId="15" xfId="0" applyFont="1" applyFill="1" applyBorder="1" applyAlignment="1">
      <alignment vertical="center" wrapText="1"/>
    </xf>
    <xf numFmtId="0" fontId="43" fillId="0" borderId="15" xfId="0" applyFont="1" applyBorder="1" applyAlignment="1">
      <alignment horizontal="center" vertical="center"/>
    </xf>
    <xf numFmtId="49" fontId="43" fillId="0" borderId="12" xfId="0" applyNumberFormat="1" applyFont="1" applyFill="1" applyBorder="1" applyAlignment="1">
      <alignment horizontal="center" vertical="center"/>
    </xf>
    <xf numFmtId="0" fontId="43" fillId="0" borderId="15" xfId="0" applyFont="1" applyBorder="1" applyAlignment="1">
      <alignment vertical="center" wrapText="1"/>
    </xf>
    <xf numFmtId="0" fontId="44" fillId="0" borderId="18" xfId="0" applyFont="1" applyFill="1" applyBorder="1" applyAlignment="1">
      <alignment vertical="center" wrapText="1"/>
    </xf>
    <xf numFmtId="0" fontId="43" fillId="0" borderId="12" xfId="0" applyFont="1" applyFill="1" applyBorder="1" applyAlignment="1">
      <alignment/>
    </xf>
    <xf numFmtId="49" fontId="43" fillId="0" borderId="12" xfId="0" applyNumberFormat="1"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20"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protection/>
    </xf>
    <xf numFmtId="0" fontId="43" fillId="0" borderId="12" xfId="0" applyFont="1" applyBorder="1" applyAlignment="1">
      <alignment horizontal="center" vertical="center"/>
    </xf>
    <xf numFmtId="200" fontId="43" fillId="0" borderId="18" xfId="0" applyNumberFormat="1" applyFont="1" applyFill="1" applyBorder="1" applyAlignment="1" applyProtection="1">
      <alignment vertical="center" wrapText="1"/>
      <protection/>
    </xf>
    <xf numFmtId="0" fontId="0" fillId="0" borderId="15" xfId="0" applyFill="1" applyBorder="1" applyAlignment="1">
      <alignment vertical="center" wrapText="1"/>
    </xf>
    <xf numFmtId="200" fontId="43" fillId="0" borderId="18" xfId="0" applyNumberFormat="1" applyFont="1" applyFill="1" applyBorder="1" applyAlignment="1">
      <alignment vertical="center" wrapText="1"/>
    </xf>
    <xf numFmtId="0" fontId="0" fillId="0" borderId="20" xfId="0" applyFill="1" applyBorder="1" applyAlignment="1">
      <alignment vertical="center" wrapText="1"/>
    </xf>
    <xf numFmtId="0" fontId="0" fillId="0" borderId="50" xfId="0" applyFill="1" applyBorder="1" applyAlignment="1">
      <alignment vertical="center" wrapText="1"/>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20" xfId="0" applyFont="1" applyFill="1" applyBorder="1" applyAlignment="1">
      <alignment horizontal="center" vertical="center"/>
    </xf>
    <xf numFmtId="0" fontId="43" fillId="0" borderId="12" xfId="0" applyFont="1" applyFill="1" applyBorder="1" applyAlignment="1">
      <alignment vertical="center"/>
    </xf>
    <xf numFmtId="0" fontId="43" fillId="0" borderId="12" xfId="0" applyFont="1" applyBorder="1" applyAlignment="1">
      <alignment vertical="center"/>
    </xf>
    <xf numFmtId="0" fontId="43" fillId="0" borderId="20" xfId="0" applyFont="1" applyFill="1" applyBorder="1" applyAlignment="1">
      <alignment horizontal="left" vertical="center" wrapText="1"/>
    </xf>
    <xf numFmtId="0" fontId="43" fillId="0" borderId="50" xfId="0" applyFont="1" applyFill="1" applyBorder="1" applyAlignment="1">
      <alignment horizontal="left" vertical="center" wrapText="1"/>
    </xf>
    <xf numFmtId="49" fontId="43" fillId="0" borderId="20" xfId="0" applyNumberFormat="1" applyFont="1" applyFill="1" applyBorder="1" applyAlignment="1">
      <alignment horizontal="center" vertical="center"/>
    </xf>
    <xf numFmtId="0" fontId="43" fillId="0" borderId="20" xfId="0" applyFont="1" applyFill="1" applyBorder="1" applyAlignment="1">
      <alignment vertical="center" wrapText="1"/>
    </xf>
    <xf numFmtId="0" fontId="43" fillId="0" borderId="12" xfId="0" applyFont="1" applyBorder="1" applyAlignment="1">
      <alignment horizontal="center" vertical="center" wrapText="1"/>
    </xf>
    <xf numFmtId="0" fontId="43" fillId="0" borderId="18" xfId="0" applyFont="1" applyFill="1" applyBorder="1" applyAlignment="1">
      <alignment horizontal="center" vertical="center"/>
    </xf>
    <xf numFmtId="0" fontId="43" fillId="0" borderId="18" xfId="0" applyFont="1" applyFill="1" applyBorder="1" applyAlignment="1">
      <alignment horizontal="center" vertical="center" wrapText="1"/>
    </xf>
    <xf numFmtId="0" fontId="43" fillId="0" borderId="15" xfId="0" applyFont="1" applyBorder="1" applyAlignment="1">
      <alignment horizontal="center" vertical="center" wrapText="1"/>
    </xf>
    <xf numFmtId="49" fontId="43" fillId="0" borderId="18" xfId="0" applyNumberFormat="1" applyFont="1" applyFill="1" applyBorder="1" applyAlignment="1" applyProtection="1">
      <alignment horizontal="center" vertical="center" wrapText="1"/>
      <protection/>
    </xf>
    <xf numFmtId="0" fontId="0" fillId="0" borderId="15" xfId="0" applyBorder="1" applyAlignment="1">
      <alignment vertical="center" wrapText="1"/>
    </xf>
    <xf numFmtId="0" fontId="43" fillId="0" borderId="12" xfId="0" applyFont="1" applyFill="1" applyBorder="1" applyAlignment="1">
      <alignment horizontal="left" vertical="center" wrapText="1" shrinkToFit="1"/>
    </xf>
    <xf numFmtId="0" fontId="43" fillId="0" borderId="18" xfId="0" applyFont="1" applyFill="1" applyBorder="1" applyAlignment="1">
      <alignment horizontal="left" vertical="center" wrapText="1" shrinkToFit="1"/>
    </xf>
    <xf numFmtId="200" fontId="43" fillId="0" borderId="12" xfId="0" applyNumberFormat="1" applyFont="1" applyFill="1" applyBorder="1" applyAlignment="1" applyProtection="1">
      <alignment vertical="center" wrapText="1"/>
      <protection/>
    </xf>
    <xf numFmtId="0" fontId="43" fillId="0" borderId="20" xfId="0" applyNumberFormat="1" applyFont="1" applyFill="1" applyBorder="1" applyAlignment="1" applyProtection="1">
      <alignment horizontal="center" vertical="center"/>
      <protection/>
    </xf>
    <xf numFmtId="0" fontId="0" fillId="0" borderId="50" xfId="0" applyBorder="1" applyAlignment="1">
      <alignment horizontal="center" vertical="center"/>
    </xf>
    <xf numFmtId="49" fontId="43" fillId="0" borderId="20"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0" fontId="0" fillId="0" borderId="17" xfId="0" applyBorder="1" applyAlignment="1">
      <alignment vertical="center" wrapText="1"/>
    </xf>
    <xf numFmtId="0" fontId="0" fillId="0" borderId="20" xfId="0" applyBorder="1" applyAlignment="1">
      <alignment vertical="center" wrapText="1"/>
    </xf>
    <xf numFmtId="0" fontId="44" fillId="0" borderId="18" xfId="0" applyFont="1" applyFill="1" applyBorder="1" applyAlignment="1">
      <alignment horizontal="left" vertical="center" wrapText="1"/>
    </xf>
    <xf numFmtId="0" fontId="0" fillId="0" borderId="50" xfId="0" applyBorder="1" applyAlignment="1">
      <alignment horizontal="left" vertical="center" wrapText="1"/>
    </xf>
    <xf numFmtId="200" fontId="44" fillId="0" borderId="18" xfId="0" applyNumberFormat="1" applyFont="1" applyFill="1" applyBorder="1" applyAlignment="1">
      <alignment vertical="center" wrapText="1"/>
    </xf>
    <xf numFmtId="0" fontId="50" fillId="0" borderId="20" xfId="0" applyNumberFormat="1" applyFont="1" applyBorder="1" applyAlignment="1">
      <alignment horizontal="center" vertical="center" wrapText="1"/>
    </xf>
    <xf numFmtId="0" fontId="50" fillId="0" borderId="15" xfId="0" applyNumberFormat="1" applyFont="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63"/>
  <sheetViews>
    <sheetView showGridLines="0" showZeros="0" zoomScaleSheetLayoutView="100" zoomScalePageLayoutView="0" workbookViewId="0" topLeftCell="A13">
      <selection activeCell="E5" sqref="E5"/>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3.5" style="1" bestFit="1" customWidth="1"/>
    <col min="12" max="12" width="9.16015625" style="1" customWidth="1"/>
    <col min="13" max="244" width="9.16015625" style="2" customWidth="1"/>
    <col min="245" max="253" width="9.16015625" style="1" customWidth="1"/>
    <col min="254" max="16384" width="9.16015625" style="2" customWidth="1"/>
  </cols>
  <sheetData>
    <row r="1" spans="5:6" ht="15.75">
      <c r="E1" s="5" t="s">
        <v>237</v>
      </c>
      <c r="F1" s="5"/>
    </row>
    <row r="2" spans="5:6" ht="15.75">
      <c r="E2" s="4" t="s">
        <v>349</v>
      </c>
      <c r="F2" s="5"/>
    </row>
    <row r="3" spans="3:13" ht="15.75">
      <c r="C3" s="317"/>
      <c r="D3" s="317"/>
      <c r="E3" s="4" t="s">
        <v>350</v>
      </c>
      <c r="F3" s="5"/>
      <c r="M3" s="1"/>
    </row>
    <row r="4" spans="3:13" ht="15.75">
      <c r="C4" s="317"/>
      <c r="D4" s="317"/>
      <c r="E4" s="4" t="s">
        <v>351</v>
      </c>
      <c r="F4" s="5"/>
      <c r="M4" s="1"/>
    </row>
    <row r="5" spans="3:13" ht="15">
      <c r="C5" s="317"/>
      <c r="D5" s="317"/>
      <c r="E5" s="8"/>
      <c r="M5" s="1"/>
    </row>
    <row r="6" spans="1:6" ht="21.75" customHeight="1">
      <c r="A6" s="467" t="s">
        <v>236</v>
      </c>
      <c r="B6" s="468"/>
      <c r="C6" s="468"/>
      <c r="D6" s="468"/>
      <c r="E6" s="468"/>
      <c r="F6" s="469"/>
    </row>
    <row r="7" spans="2:6" ht="12.75">
      <c r="B7" s="316"/>
      <c r="C7" s="316"/>
      <c r="D7" s="316"/>
      <c r="E7" s="316"/>
      <c r="F7" s="315" t="s">
        <v>235</v>
      </c>
    </row>
    <row r="8" spans="1:6" ht="18.75" customHeight="1">
      <c r="A8" s="470" t="s">
        <v>38</v>
      </c>
      <c r="B8" s="470" t="s">
        <v>234</v>
      </c>
      <c r="C8" s="470" t="s">
        <v>42</v>
      </c>
      <c r="D8" s="470" t="s">
        <v>39</v>
      </c>
      <c r="E8" s="470" t="s">
        <v>40</v>
      </c>
      <c r="F8" s="470"/>
    </row>
    <row r="9" spans="1:6" ht="65.25" customHeight="1">
      <c r="A9" s="470"/>
      <c r="B9" s="470"/>
      <c r="C9" s="470"/>
      <c r="D9" s="470"/>
      <c r="E9" s="6" t="s">
        <v>43</v>
      </c>
      <c r="F9" s="6" t="s">
        <v>44</v>
      </c>
    </row>
    <row r="10" spans="1:253" s="313" customFormat="1" ht="18" customHeight="1">
      <c r="A10" s="286">
        <v>10000000</v>
      </c>
      <c r="B10" s="299" t="s">
        <v>233</v>
      </c>
      <c r="C10" s="284">
        <f aca="true" t="shared" si="0" ref="C10:C41">D10+E10</f>
        <v>291229065</v>
      </c>
      <c r="D10" s="284">
        <f>D11+D19+D24+D30+D49</f>
        <v>291131165</v>
      </c>
      <c r="E10" s="284">
        <f>E11+E19+E24+E30+E49</f>
        <v>97900</v>
      </c>
      <c r="F10" s="284">
        <f>F11+F19+F24+F30+F49</f>
        <v>0</v>
      </c>
      <c r="G10" s="314"/>
      <c r="H10" s="314"/>
      <c r="I10" s="314"/>
      <c r="J10" s="314"/>
      <c r="K10" s="314"/>
      <c r="L10" s="314"/>
      <c r="IK10" s="314"/>
      <c r="IL10" s="314"/>
      <c r="IM10" s="314"/>
      <c r="IN10" s="314"/>
      <c r="IO10" s="314"/>
      <c r="IP10" s="314"/>
      <c r="IQ10" s="314"/>
      <c r="IR10" s="314"/>
      <c r="IS10" s="314"/>
    </row>
    <row r="11" spans="1:253" s="287" customFormat="1" ht="57" customHeight="1">
      <c r="A11" s="6">
        <v>11000000</v>
      </c>
      <c r="B11" s="298" t="s">
        <v>232</v>
      </c>
      <c r="C11" s="284">
        <f t="shared" si="0"/>
        <v>178424765</v>
      </c>
      <c r="D11" s="294">
        <f>D12+D17</f>
        <v>178424765</v>
      </c>
      <c r="E11" s="294">
        <f>E12+E17</f>
        <v>0</v>
      </c>
      <c r="F11" s="294">
        <f>F12+F17</f>
        <v>0</v>
      </c>
      <c r="G11" s="288"/>
      <c r="H11" s="288"/>
      <c r="I11" s="288"/>
      <c r="J11" s="288"/>
      <c r="K11" s="288"/>
      <c r="L11" s="288"/>
      <c r="IK11" s="288"/>
      <c r="IL11" s="288"/>
      <c r="IM11" s="288"/>
      <c r="IN11" s="288"/>
      <c r="IO11" s="288"/>
      <c r="IP11" s="288"/>
      <c r="IQ11" s="288"/>
      <c r="IR11" s="288"/>
      <c r="IS11" s="288"/>
    </row>
    <row r="12" spans="1:6" s="311" customFormat="1" ht="21" customHeight="1">
      <c r="A12" s="6">
        <v>11010000</v>
      </c>
      <c r="B12" s="298" t="s">
        <v>231</v>
      </c>
      <c r="C12" s="284">
        <f t="shared" si="0"/>
        <v>177273965</v>
      </c>
      <c r="D12" s="294">
        <f>148158677+1703870+34970-707400+150000+13468241-19210+4436000+20000+2824875+1212535+2306642-168455+3853220</f>
        <v>177273965</v>
      </c>
      <c r="E12" s="294"/>
      <c r="F12" s="291"/>
    </row>
    <row r="13" spans="1:9" s="311" customFormat="1" ht="69.75" customHeight="1">
      <c r="A13" s="6">
        <v>11010100</v>
      </c>
      <c r="B13" s="298" t="s">
        <v>230</v>
      </c>
      <c r="C13" s="284">
        <f t="shared" si="0"/>
        <v>138168048</v>
      </c>
      <c r="D13" s="294">
        <v>138168048</v>
      </c>
      <c r="E13" s="294"/>
      <c r="F13" s="291"/>
      <c r="I13" s="312"/>
    </row>
    <row r="14" spans="1:6" s="311" customFormat="1" ht="96.75" customHeight="1">
      <c r="A14" s="6">
        <v>11010200</v>
      </c>
      <c r="B14" s="298" t="s">
        <v>229</v>
      </c>
      <c r="C14" s="284">
        <f t="shared" si="0"/>
        <v>32724817</v>
      </c>
      <c r="D14" s="294">
        <f>18240000+4436000+20000+2824875+1212535+2306642-168455+3853220</f>
        <v>32724817</v>
      </c>
      <c r="E14" s="294"/>
      <c r="F14" s="291"/>
    </row>
    <row r="15" spans="1:6" s="311" customFormat="1" ht="66" customHeight="1">
      <c r="A15" s="6">
        <v>11010400</v>
      </c>
      <c r="B15" s="298" t="s">
        <v>228</v>
      </c>
      <c r="C15" s="284">
        <f t="shared" si="0"/>
        <v>3595800</v>
      </c>
      <c r="D15" s="294">
        <v>3595800</v>
      </c>
      <c r="E15" s="294"/>
      <c r="F15" s="291"/>
    </row>
    <row r="16" spans="1:6" s="311" customFormat="1" ht="50.25" customHeight="1">
      <c r="A16" s="6">
        <v>11010500</v>
      </c>
      <c r="B16" s="298" t="s">
        <v>227</v>
      </c>
      <c r="C16" s="284">
        <f t="shared" si="0"/>
        <v>2785300</v>
      </c>
      <c r="D16" s="294">
        <v>2785300</v>
      </c>
      <c r="E16" s="294"/>
      <c r="F16" s="291"/>
    </row>
    <row r="17" spans="1:6" s="288" customFormat="1" ht="21.75" customHeight="1">
      <c r="A17" s="6">
        <v>11020000</v>
      </c>
      <c r="B17" s="298" t="s">
        <v>226</v>
      </c>
      <c r="C17" s="284">
        <f t="shared" si="0"/>
        <v>1150800</v>
      </c>
      <c r="D17" s="294">
        <f>D18</f>
        <v>1150800</v>
      </c>
      <c r="E17" s="294">
        <f>E18</f>
        <v>0</v>
      </c>
      <c r="F17" s="294"/>
    </row>
    <row r="18" spans="1:6" s="288" customFormat="1" ht="46.5" customHeight="1">
      <c r="A18" s="6">
        <v>11020200</v>
      </c>
      <c r="B18" s="298" t="s">
        <v>225</v>
      </c>
      <c r="C18" s="284">
        <f t="shared" si="0"/>
        <v>1150800</v>
      </c>
      <c r="D18" s="294">
        <f>120800+1030000</f>
        <v>1150800</v>
      </c>
      <c r="E18" s="294"/>
      <c r="F18" s="291"/>
    </row>
    <row r="19" spans="1:253" s="287" customFormat="1" ht="35.25" customHeight="1">
      <c r="A19" s="6">
        <v>13000000</v>
      </c>
      <c r="B19" s="298" t="s">
        <v>224</v>
      </c>
      <c r="C19" s="284">
        <f t="shared" si="0"/>
        <v>66700</v>
      </c>
      <c r="D19" s="294">
        <f>D20+D22</f>
        <v>66700</v>
      </c>
      <c r="E19" s="294">
        <f>E20</f>
        <v>0</v>
      </c>
      <c r="F19" s="294"/>
      <c r="G19" s="288"/>
      <c r="H19" s="288"/>
      <c r="I19" s="288"/>
      <c r="J19" s="288"/>
      <c r="K19" s="288"/>
      <c r="L19" s="288"/>
      <c r="IK19" s="288"/>
      <c r="IL19" s="288"/>
      <c r="IM19" s="288"/>
      <c r="IN19" s="288"/>
      <c r="IO19" s="288"/>
      <c r="IP19" s="288"/>
      <c r="IQ19" s="288"/>
      <c r="IR19" s="288"/>
      <c r="IS19" s="288"/>
    </row>
    <row r="20" spans="1:253" s="287" customFormat="1" ht="31.5">
      <c r="A20" s="6">
        <v>13010000</v>
      </c>
      <c r="B20" s="298" t="s">
        <v>223</v>
      </c>
      <c r="C20" s="284">
        <f t="shared" si="0"/>
        <v>14900</v>
      </c>
      <c r="D20" s="294">
        <f>D21</f>
        <v>14900</v>
      </c>
      <c r="E20" s="294">
        <f>E21</f>
        <v>0</v>
      </c>
      <c r="F20" s="294"/>
      <c r="G20" s="288"/>
      <c r="H20" s="288"/>
      <c r="I20" s="288"/>
      <c r="J20" s="288"/>
      <c r="K20" s="288"/>
      <c r="L20" s="288"/>
      <c r="IK20" s="288"/>
      <c r="IL20" s="288"/>
      <c r="IM20" s="288"/>
      <c r="IN20" s="288"/>
      <c r="IO20" s="288"/>
      <c r="IP20" s="288"/>
      <c r="IQ20" s="288"/>
      <c r="IR20" s="288"/>
      <c r="IS20" s="288"/>
    </row>
    <row r="21" spans="1:253" s="287" customFormat="1" ht="100.5" customHeight="1">
      <c r="A21" s="6">
        <v>13010200</v>
      </c>
      <c r="B21" s="298" t="s">
        <v>222</v>
      </c>
      <c r="C21" s="284">
        <f t="shared" si="0"/>
        <v>14900</v>
      </c>
      <c r="D21" s="294">
        <v>14900</v>
      </c>
      <c r="E21" s="291"/>
      <c r="F21" s="291"/>
      <c r="G21" s="288"/>
      <c r="H21" s="288"/>
      <c r="I21" s="288"/>
      <c r="J21" s="288"/>
      <c r="K21" s="288"/>
      <c r="L21" s="288"/>
      <c r="IK21" s="288"/>
      <c r="IL21" s="288"/>
      <c r="IM21" s="288"/>
      <c r="IN21" s="288"/>
      <c r="IO21" s="288"/>
      <c r="IP21" s="288"/>
      <c r="IQ21" s="288"/>
      <c r="IR21" s="288"/>
      <c r="IS21" s="288"/>
    </row>
    <row r="22" spans="1:253" s="287" customFormat="1" ht="21" customHeight="1">
      <c r="A22" s="6">
        <v>13030000</v>
      </c>
      <c r="B22" s="310" t="s">
        <v>221</v>
      </c>
      <c r="C22" s="284">
        <f t="shared" si="0"/>
        <v>51800</v>
      </c>
      <c r="D22" s="294">
        <f>D23</f>
        <v>51800</v>
      </c>
      <c r="E22" s="291"/>
      <c r="F22" s="291"/>
      <c r="G22" s="288"/>
      <c r="H22" s="288"/>
      <c r="I22" s="288"/>
      <c r="J22" s="288"/>
      <c r="K22" s="288"/>
      <c r="L22" s="288"/>
      <c r="IK22" s="288"/>
      <c r="IL22" s="288"/>
      <c r="IM22" s="288"/>
      <c r="IN22" s="288"/>
      <c r="IO22" s="288"/>
      <c r="IP22" s="288"/>
      <c r="IQ22" s="288"/>
      <c r="IR22" s="288"/>
      <c r="IS22" s="288"/>
    </row>
    <row r="23" spans="1:253" s="287" customFormat="1" ht="51.75" customHeight="1">
      <c r="A23" s="6">
        <v>13030100</v>
      </c>
      <c r="B23" s="298" t="s">
        <v>220</v>
      </c>
      <c r="C23" s="284">
        <f t="shared" si="0"/>
        <v>51800</v>
      </c>
      <c r="D23" s="294">
        <v>51800</v>
      </c>
      <c r="E23" s="291"/>
      <c r="F23" s="291"/>
      <c r="G23" s="288"/>
      <c r="H23" s="288"/>
      <c r="I23" s="288"/>
      <c r="J23" s="288"/>
      <c r="K23" s="288"/>
      <c r="L23" s="288"/>
      <c r="IK23" s="288"/>
      <c r="IL23" s="288"/>
      <c r="IM23" s="288"/>
      <c r="IN23" s="288"/>
      <c r="IO23" s="288"/>
      <c r="IP23" s="288"/>
      <c r="IQ23" s="288"/>
      <c r="IR23" s="288"/>
      <c r="IS23" s="288"/>
    </row>
    <row r="24" spans="1:253" s="287" customFormat="1" ht="23.25" customHeight="1">
      <c r="A24" s="6">
        <v>14000000</v>
      </c>
      <c r="B24" s="298" t="s">
        <v>219</v>
      </c>
      <c r="C24" s="284">
        <f t="shared" si="0"/>
        <v>41229300</v>
      </c>
      <c r="D24" s="294">
        <f>D25+D27+D29</f>
        <v>41229300</v>
      </c>
      <c r="E24" s="294">
        <f>E29</f>
        <v>0</v>
      </c>
      <c r="F24" s="294"/>
      <c r="G24" s="288"/>
      <c r="H24" s="288"/>
      <c r="I24" s="288"/>
      <c r="J24" s="288"/>
      <c r="K24" s="288"/>
      <c r="L24" s="288"/>
      <c r="IK24" s="288"/>
      <c r="IL24" s="288"/>
      <c r="IM24" s="288"/>
      <c r="IN24" s="288"/>
      <c r="IO24" s="288"/>
      <c r="IP24" s="288"/>
      <c r="IQ24" s="288"/>
      <c r="IR24" s="288"/>
      <c r="IS24" s="288"/>
    </row>
    <row r="25" spans="1:253" s="287" customFormat="1" ht="40.5" customHeight="1">
      <c r="A25" s="6">
        <v>14020000</v>
      </c>
      <c r="B25" s="298" t="s">
        <v>218</v>
      </c>
      <c r="C25" s="284">
        <f t="shared" si="0"/>
        <v>3015700</v>
      </c>
      <c r="D25" s="294">
        <f>D26</f>
        <v>3015700</v>
      </c>
      <c r="E25" s="294"/>
      <c r="F25" s="294"/>
      <c r="G25" s="288"/>
      <c r="H25" s="288"/>
      <c r="I25" s="288"/>
      <c r="J25" s="288"/>
      <c r="K25" s="288"/>
      <c r="L25" s="288"/>
      <c r="IK25" s="288"/>
      <c r="IL25" s="288"/>
      <c r="IM25" s="288"/>
      <c r="IN25" s="288"/>
      <c r="IO25" s="288"/>
      <c r="IP25" s="288"/>
      <c r="IQ25" s="288"/>
      <c r="IR25" s="288"/>
      <c r="IS25" s="288"/>
    </row>
    <row r="26" spans="1:253" s="287" customFormat="1" ht="17.25" customHeight="1">
      <c r="A26" s="6">
        <v>14021900</v>
      </c>
      <c r="B26" s="298" t="s">
        <v>216</v>
      </c>
      <c r="C26" s="284">
        <f t="shared" si="0"/>
        <v>3015700</v>
      </c>
      <c r="D26" s="294">
        <v>3015700</v>
      </c>
      <c r="E26" s="294"/>
      <c r="F26" s="294"/>
      <c r="G26" s="288"/>
      <c r="H26" s="288"/>
      <c r="I26" s="288"/>
      <c r="J26" s="288"/>
      <c r="K26" s="288"/>
      <c r="L26" s="288"/>
      <c r="IK26" s="288"/>
      <c r="IL26" s="288"/>
      <c r="IM26" s="288"/>
      <c r="IN26" s="288"/>
      <c r="IO26" s="288"/>
      <c r="IP26" s="288"/>
      <c r="IQ26" s="288"/>
      <c r="IR26" s="288"/>
      <c r="IS26" s="288"/>
    </row>
    <row r="27" spans="1:253" s="287" customFormat="1" ht="49.5" customHeight="1">
      <c r="A27" s="6">
        <v>14030000</v>
      </c>
      <c r="B27" s="298" t="s">
        <v>217</v>
      </c>
      <c r="C27" s="284">
        <f t="shared" si="0"/>
        <v>12463600</v>
      </c>
      <c r="D27" s="294">
        <f>D28</f>
        <v>12463600</v>
      </c>
      <c r="E27" s="294"/>
      <c r="F27" s="294"/>
      <c r="G27" s="288"/>
      <c r="H27" s="288"/>
      <c r="I27" s="288"/>
      <c r="J27" s="288"/>
      <c r="K27" s="288"/>
      <c r="L27" s="288"/>
      <c r="IK27" s="288"/>
      <c r="IL27" s="288"/>
      <c r="IM27" s="288"/>
      <c r="IN27" s="288"/>
      <c r="IO27" s="288"/>
      <c r="IP27" s="288"/>
      <c r="IQ27" s="288"/>
      <c r="IR27" s="288"/>
      <c r="IS27" s="288"/>
    </row>
    <row r="28" spans="1:253" s="287" customFormat="1" ht="17.25" customHeight="1">
      <c r="A28" s="6">
        <v>14031900</v>
      </c>
      <c r="B28" s="298" t="s">
        <v>216</v>
      </c>
      <c r="C28" s="284">
        <f t="shared" si="0"/>
        <v>12463600</v>
      </c>
      <c r="D28" s="294">
        <v>12463600</v>
      </c>
      <c r="E28" s="294"/>
      <c r="F28" s="294"/>
      <c r="G28" s="288"/>
      <c r="H28" s="288"/>
      <c r="I28" s="288"/>
      <c r="J28" s="288"/>
      <c r="K28" s="288"/>
      <c r="L28" s="288"/>
      <c r="IK28" s="288"/>
      <c r="IL28" s="288"/>
      <c r="IM28" s="288"/>
      <c r="IN28" s="288"/>
      <c r="IO28" s="288"/>
      <c r="IP28" s="288"/>
      <c r="IQ28" s="288"/>
      <c r="IR28" s="288"/>
      <c r="IS28" s="288"/>
    </row>
    <row r="29" spans="1:253" s="287" customFormat="1" ht="51" customHeight="1">
      <c r="A29" s="6">
        <v>14040000</v>
      </c>
      <c r="B29" s="298" t="s">
        <v>215</v>
      </c>
      <c r="C29" s="284">
        <f t="shared" si="0"/>
        <v>25750000</v>
      </c>
      <c r="D29" s="294">
        <f>25600000+150000</f>
        <v>25750000</v>
      </c>
      <c r="E29" s="291"/>
      <c r="F29" s="291"/>
      <c r="G29" s="288"/>
      <c r="H29" s="288"/>
      <c r="I29" s="288"/>
      <c r="J29" s="288"/>
      <c r="K29" s="288"/>
      <c r="L29" s="288"/>
      <c r="IK29" s="288"/>
      <c r="IL29" s="288"/>
      <c r="IM29" s="288"/>
      <c r="IN29" s="288"/>
      <c r="IO29" s="288"/>
      <c r="IP29" s="288"/>
      <c r="IQ29" s="288"/>
      <c r="IR29" s="288"/>
      <c r="IS29" s="288"/>
    </row>
    <row r="30" spans="1:253" s="287" customFormat="1" ht="15.75">
      <c r="A30" s="6">
        <v>18000000</v>
      </c>
      <c r="B30" s="298" t="s">
        <v>214</v>
      </c>
      <c r="C30" s="284">
        <f t="shared" si="0"/>
        <v>71410400</v>
      </c>
      <c r="D30" s="294">
        <f>D31+D42+D45</f>
        <v>71410400</v>
      </c>
      <c r="E30" s="294">
        <f>E31+E45</f>
        <v>0</v>
      </c>
      <c r="F30" s="294"/>
      <c r="G30" s="288"/>
      <c r="H30" s="288"/>
      <c r="I30" s="288"/>
      <c r="J30" s="288"/>
      <c r="K30" s="288"/>
      <c r="L30" s="288"/>
      <c r="IK30" s="288"/>
      <c r="IL30" s="288"/>
      <c r="IM30" s="288"/>
      <c r="IN30" s="288"/>
      <c r="IO30" s="288"/>
      <c r="IP30" s="288"/>
      <c r="IQ30" s="288"/>
      <c r="IR30" s="288"/>
      <c r="IS30" s="288"/>
    </row>
    <row r="31" spans="1:253" s="287" customFormat="1" ht="15.75">
      <c r="A31" s="6">
        <v>18010000</v>
      </c>
      <c r="B31" s="298" t="s">
        <v>213</v>
      </c>
      <c r="C31" s="284">
        <f t="shared" si="0"/>
        <v>33822600</v>
      </c>
      <c r="D31" s="294">
        <f>SUM(D32:D41)</f>
        <v>33822600</v>
      </c>
      <c r="E31" s="294">
        <f>SUM(E32:E39)</f>
        <v>0</v>
      </c>
      <c r="F31" s="294"/>
      <c r="G31" s="288"/>
      <c r="H31" s="288"/>
      <c r="I31" s="288"/>
      <c r="J31" s="288"/>
      <c r="K31" s="288"/>
      <c r="L31" s="288"/>
      <c r="IK31" s="288"/>
      <c r="IL31" s="288"/>
      <c r="IM31" s="288"/>
      <c r="IN31" s="288"/>
      <c r="IO31" s="288"/>
      <c r="IP31" s="288"/>
      <c r="IQ31" s="288"/>
      <c r="IR31" s="288"/>
      <c r="IS31" s="288"/>
    </row>
    <row r="32" spans="1:253" s="287" customFormat="1" ht="67.5" customHeight="1">
      <c r="A32" s="6">
        <v>18010100</v>
      </c>
      <c r="B32" s="295" t="s">
        <v>212</v>
      </c>
      <c r="C32" s="284">
        <f t="shared" si="0"/>
        <v>31700</v>
      </c>
      <c r="D32" s="294">
        <v>31700</v>
      </c>
      <c r="E32" s="291"/>
      <c r="F32" s="291"/>
      <c r="G32" s="288"/>
      <c r="H32" s="301"/>
      <c r="I32" s="288"/>
      <c r="J32" s="288"/>
      <c r="K32" s="288"/>
      <c r="L32" s="288"/>
      <c r="IK32" s="288"/>
      <c r="IL32" s="288"/>
      <c r="IM32" s="288"/>
      <c r="IN32" s="288"/>
      <c r="IO32" s="288"/>
      <c r="IP32" s="288"/>
      <c r="IQ32" s="288"/>
      <c r="IR32" s="288"/>
      <c r="IS32" s="288"/>
    </row>
    <row r="33" spans="1:253" s="287" customFormat="1" ht="64.5" customHeight="1">
      <c r="A33" s="6">
        <v>18010200</v>
      </c>
      <c r="B33" s="295" t="s">
        <v>211</v>
      </c>
      <c r="C33" s="284">
        <f t="shared" si="0"/>
        <v>144600</v>
      </c>
      <c r="D33" s="294">
        <v>144600</v>
      </c>
      <c r="E33" s="291"/>
      <c r="F33" s="291"/>
      <c r="G33" s="288"/>
      <c r="H33" s="288"/>
      <c r="I33" s="288"/>
      <c r="J33" s="288"/>
      <c r="K33" s="288"/>
      <c r="L33" s="288"/>
      <c r="IK33" s="288"/>
      <c r="IL33" s="288"/>
      <c r="IM33" s="288"/>
      <c r="IN33" s="288"/>
      <c r="IO33" s="288"/>
      <c r="IP33" s="288"/>
      <c r="IQ33" s="288"/>
      <c r="IR33" s="288"/>
      <c r="IS33" s="288"/>
    </row>
    <row r="34" spans="1:253" s="287" customFormat="1" ht="66.75" customHeight="1">
      <c r="A34" s="6">
        <v>18010300</v>
      </c>
      <c r="B34" s="295" t="s">
        <v>210</v>
      </c>
      <c r="C34" s="284">
        <f t="shared" si="0"/>
        <v>217000</v>
      </c>
      <c r="D34" s="294">
        <v>217000</v>
      </c>
      <c r="E34" s="291"/>
      <c r="F34" s="291"/>
      <c r="G34" s="288"/>
      <c r="H34" s="288"/>
      <c r="I34" s="288"/>
      <c r="J34" s="288"/>
      <c r="K34" s="288"/>
      <c r="L34" s="288"/>
      <c r="IK34" s="288"/>
      <c r="IL34" s="288"/>
      <c r="IM34" s="288"/>
      <c r="IN34" s="288"/>
      <c r="IO34" s="288"/>
      <c r="IP34" s="288"/>
      <c r="IQ34" s="288"/>
      <c r="IR34" s="288"/>
      <c r="IS34" s="288"/>
    </row>
    <row r="35" spans="1:253" s="287" customFormat="1" ht="65.25" customHeight="1">
      <c r="A35" s="6">
        <v>18010400</v>
      </c>
      <c r="B35" s="295" t="s">
        <v>209</v>
      </c>
      <c r="C35" s="284">
        <f t="shared" si="0"/>
        <v>1334700</v>
      </c>
      <c r="D35" s="294">
        <v>1334700</v>
      </c>
      <c r="E35" s="291"/>
      <c r="F35" s="291"/>
      <c r="G35" s="288"/>
      <c r="H35" s="288"/>
      <c r="I35" s="288"/>
      <c r="J35" s="288"/>
      <c r="K35" s="288"/>
      <c r="L35" s="288"/>
      <c r="IK35" s="288"/>
      <c r="IL35" s="288"/>
      <c r="IM35" s="288"/>
      <c r="IN35" s="288"/>
      <c r="IO35" s="288"/>
      <c r="IP35" s="288"/>
      <c r="IQ35" s="288"/>
      <c r="IR35" s="288"/>
      <c r="IS35" s="288"/>
    </row>
    <row r="36" spans="1:253" s="287" customFormat="1" ht="18.75" customHeight="1">
      <c r="A36" s="6">
        <v>18010500</v>
      </c>
      <c r="B36" s="295" t="s">
        <v>208</v>
      </c>
      <c r="C36" s="284">
        <f t="shared" si="0"/>
        <v>7897500</v>
      </c>
      <c r="D36" s="294">
        <v>7897500</v>
      </c>
      <c r="E36" s="291"/>
      <c r="F36" s="291"/>
      <c r="G36" s="288"/>
      <c r="H36" s="301"/>
      <c r="I36" s="288"/>
      <c r="J36" s="301"/>
      <c r="K36" s="288"/>
      <c r="L36" s="288"/>
      <c r="IK36" s="288"/>
      <c r="IL36" s="288"/>
      <c r="IM36" s="288"/>
      <c r="IN36" s="288"/>
      <c r="IO36" s="288"/>
      <c r="IP36" s="288"/>
      <c r="IQ36" s="288"/>
      <c r="IR36" s="288"/>
      <c r="IS36" s="288"/>
    </row>
    <row r="37" spans="1:253" s="287" customFormat="1" ht="15.75">
      <c r="A37" s="6">
        <v>18010600</v>
      </c>
      <c r="B37" s="295" t="s">
        <v>207</v>
      </c>
      <c r="C37" s="284">
        <f t="shared" si="0"/>
        <v>16790000</v>
      </c>
      <c r="D37" s="294">
        <v>16790000</v>
      </c>
      <c r="E37" s="291"/>
      <c r="F37" s="291"/>
      <c r="G37" s="288"/>
      <c r="H37" s="301"/>
      <c r="I37" s="288"/>
      <c r="J37" s="288"/>
      <c r="K37" s="288"/>
      <c r="L37" s="288"/>
      <c r="IK37" s="288"/>
      <c r="IL37" s="288"/>
      <c r="IM37" s="288"/>
      <c r="IN37" s="288"/>
      <c r="IO37" s="288"/>
      <c r="IP37" s="288"/>
      <c r="IQ37" s="288"/>
      <c r="IR37" s="288"/>
      <c r="IS37" s="288"/>
    </row>
    <row r="38" spans="1:253" s="287" customFormat="1" ht="15.75">
      <c r="A38" s="6">
        <v>18010700</v>
      </c>
      <c r="B38" s="295" t="s">
        <v>206</v>
      </c>
      <c r="C38" s="284">
        <f t="shared" si="0"/>
        <v>970600</v>
      </c>
      <c r="D38" s="294">
        <v>970600</v>
      </c>
      <c r="E38" s="291"/>
      <c r="F38" s="291"/>
      <c r="G38" s="288"/>
      <c r="H38" s="301"/>
      <c r="I38" s="288"/>
      <c r="J38" s="288"/>
      <c r="K38" s="288"/>
      <c r="L38" s="288"/>
      <c r="IK38" s="288"/>
      <c r="IL38" s="288"/>
      <c r="IM38" s="288"/>
      <c r="IN38" s="288"/>
      <c r="IO38" s="288"/>
      <c r="IP38" s="288"/>
      <c r="IQ38" s="288"/>
      <c r="IR38" s="288"/>
      <c r="IS38" s="288"/>
    </row>
    <row r="39" spans="1:253" s="287" customFormat="1" ht="15.75">
      <c r="A39" s="6">
        <v>18010900</v>
      </c>
      <c r="B39" s="295" t="s">
        <v>205</v>
      </c>
      <c r="C39" s="284">
        <f t="shared" si="0"/>
        <v>6111500</v>
      </c>
      <c r="D39" s="294">
        <v>6111500</v>
      </c>
      <c r="E39" s="291"/>
      <c r="F39" s="291"/>
      <c r="G39" s="288"/>
      <c r="H39" s="288"/>
      <c r="I39" s="288"/>
      <c r="J39" s="288"/>
      <c r="K39" s="288"/>
      <c r="L39" s="288"/>
      <c r="IK39" s="288"/>
      <c r="IL39" s="288"/>
      <c r="IM39" s="288"/>
      <c r="IN39" s="288"/>
      <c r="IO39" s="288"/>
      <c r="IP39" s="288"/>
      <c r="IQ39" s="288"/>
      <c r="IR39" s="288"/>
      <c r="IS39" s="288"/>
    </row>
    <row r="40" spans="1:253" s="287" customFormat="1" ht="21" customHeight="1">
      <c r="A40" s="6">
        <v>18011000</v>
      </c>
      <c r="B40" s="295" t="s">
        <v>204</v>
      </c>
      <c r="C40" s="284">
        <f t="shared" si="0"/>
        <v>100000</v>
      </c>
      <c r="D40" s="294">
        <v>100000</v>
      </c>
      <c r="E40" s="291"/>
      <c r="F40" s="291"/>
      <c r="G40" s="288"/>
      <c r="H40" s="301"/>
      <c r="I40" s="288"/>
      <c r="J40" s="288"/>
      <c r="K40" s="288"/>
      <c r="L40" s="288"/>
      <c r="IK40" s="288"/>
      <c r="IL40" s="288"/>
      <c r="IM40" s="288"/>
      <c r="IN40" s="288"/>
      <c r="IO40" s="288"/>
      <c r="IP40" s="288"/>
      <c r="IQ40" s="288"/>
      <c r="IR40" s="288"/>
      <c r="IS40" s="288"/>
    </row>
    <row r="41" spans="1:253" s="287" customFormat="1" ht="23.25" customHeight="1">
      <c r="A41" s="6">
        <v>18011100</v>
      </c>
      <c r="B41" s="303" t="s">
        <v>203</v>
      </c>
      <c r="C41" s="284">
        <f t="shared" si="0"/>
        <v>225000</v>
      </c>
      <c r="D41" s="294">
        <v>225000</v>
      </c>
      <c r="E41" s="291"/>
      <c r="F41" s="291"/>
      <c r="G41" s="288"/>
      <c r="H41" s="288"/>
      <c r="I41" s="288"/>
      <c r="J41" s="288"/>
      <c r="K41" s="288"/>
      <c r="L41" s="288"/>
      <c r="IK41" s="288"/>
      <c r="IL41" s="288"/>
      <c r="IM41" s="288"/>
      <c r="IN41" s="288"/>
      <c r="IO41" s="288"/>
      <c r="IP41" s="288"/>
      <c r="IQ41" s="288"/>
      <c r="IR41" s="288"/>
      <c r="IS41" s="288"/>
    </row>
    <row r="42" spans="1:253" s="287" customFormat="1" ht="15.75">
      <c r="A42" s="6">
        <v>18030000</v>
      </c>
      <c r="B42" s="303" t="s">
        <v>202</v>
      </c>
      <c r="C42" s="284">
        <f aca="true" t="shared" si="1" ref="C42:C73">D42+E42</f>
        <v>76500</v>
      </c>
      <c r="D42" s="294">
        <v>76500</v>
      </c>
      <c r="E42" s="291"/>
      <c r="F42" s="291"/>
      <c r="G42" s="288"/>
      <c r="H42" s="288"/>
      <c r="I42" s="288"/>
      <c r="J42" s="288"/>
      <c r="K42" s="288"/>
      <c r="L42" s="288"/>
      <c r="IK42" s="288"/>
      <c r="IL42" s="288"/>
      <c r="IM42" s="288"/>
      <c r="IN42" s="288"/>
      <c r="IO42" s="288"/>
      <c r="IP42" s="288"/>
      <c r="IQ42" s="288"/>
      <c r="IR42" s="288"/>
      <c r="IS42" s="288"/>
    </row>
    <row r="43" spans="1:253" s="287" customFormat="1" ht="31.5">
      <c r="A43" s="6">
        <v>18030100</v>
      </c>
      <c r="B43" s="303" t="s">
        <v>201</v>
      </c>
      <c r="C43" s="284">
        <f t="shared" si="1"/>
        <v>20200</v>
      </c>
      <c r="D43" s="294">
        <v>20200</v>
      </c>
      <c r="E43" s="291"/>
      <c r="F43" s="291"/>
      <c r="G43" s="288"/>
      <c r="H43" s="301"/>
      <c r="I43" s="288"/>
      <c r="J43" s="288"/>
      <c r="K43" s="288"/>
      <c r="L43" s="288"/>
      <c r="IK43" s="288"/>
      <c r="IL43" s="288"/>
      <c r="IM43" s="288"/>
      <c r="IN43" s="288"/>
      <c r="IO43" s="288"/>
      <c r="IP43" s="288"/>
      <c r="IQ43" s="288"/>
      <c r="IR43" s="288"/>
      <c r="IS43" s="288"/>
    </row>
    <row r="44" spans="1:253" s="287" customFormat="1" ht="31.5">
      <c r="A44" s="6">
        <v>18030200</v>
      </c>
      <c r="B44" s="303" t="s">
        <v>200</v>
      </c>
      <c r="C44" s="284">
        <f t="shared" si="1"/>
        <v>56300</v>
      </c>
      <c r="D44" s="294">
        <v>56300</v>
      </c>
      <c r="E44" s="291"/>
      <c r="F44" s="291"/>
      <c r="G44" s="288"/>
      <c r="H44" s="288"/>
      <c r="I44" s="288"/>
      <c r="J44" s="288"/>
      <c r="K44" s="288"/>
      <c r="L44" s="288"/>
      <c r="IK44" s="288"/>
      <c r="IL44" s="288"/>
      <c r="IM44" s="288"/>
      <c r="IN44" s="288"/>
      <c r="IO44" s="288"/>
      <c r="IP44" s="288"/>
      <c r="IQ44" s="288"/>
      <c r="IR44" s="288"/>
      <c r="IS44" s="288"/>
    </row>
    <row r="45" spans="1:253" s="287" customFormat="1" ht="15.75">
      <c r="A45" s="6">
        <v>18050000</v>
      </c>
      <c r="B45" s="309" t="s">
        <v>199</v>
      </c>
      <c r="C45" s="284">
        <f t="shared" si="1"/>
        <v>37511300</v>
      </c>
      <c r="D45" s="294">
        <v>37511300</v>
      </c>
      <c r="E45" s="291"/>
      <c r="F45" s="291"/>
      <c r="G45" s="288"/>
      <c r="H45" s="301"/>
      <c r="I45" s="288"/>
      <c r="J45" s="288"/>
      <c r="K45" s="288"/>
      <c r="L45" s="288"/>
      <c r="IK45" s="288"/>
      <c r="IL45" s="288"/>
      <c r="IM45" s="288"/>
      <c r="IN45" s="288"/>
      <c r="IO45" s="288"/>
      <c r="IP45" s="288"/>
      <c r="IQ45" s="288"/>
      <c r="IR45" s="288"/>
      <c r="IS45" s="288"/>
    </row>
    <row r="46" spans="1:253" s="287" customFormat="1" ht="15.75">
      <c r="A46" s="6">
        <v>18050300</v>
      </c>
      <c r="B46" s="309" t="s">
        <v>198</v>
      </c>
      <c r="C46" s="284">
        <f t="shared" si="1"/>
        <v>6316500</v>
      </c>
      <c r="D46" s="294">
        <v>6316500</v>
      </c>
      <c r="E46" s="291"/>
      <c r="F46" s="291"/>
      <c r="G46" s="288"/>
      <c r="H46" s="288"/>
      <c r="I46" s="288"/>
      <c r="J46" s="288"/>
      <c r="K46" s="288"/>
      <c r="L46" s="288"/>
      <c r="IK46" s="288"/>
      <c r="IL46" s="288"/>
      <c r="IM46" s="288"/>
      <c r="IN46" s="288"/>
      <c r="IO46" s="288"/>
      <c r="IP46" s="288"/>
      <c r="IQ46" s="288"/>
      <c r="IR46" s="288"/>
      <c r="IS46" s="288"/>
    </row>
    <row r="47" spans="1:253" s="287" customFormat="1" ht="15.75">
      <c r="A47" s="6">
        <v>18050400</v>
      </c>
      <c r="B47" s="309" t="s">
        <v>197</v>
      </c>
      <c r="C47" s="284">
        <f t="shared" si="1"/>
        <v>30813000</v>
      </c>
      <c r="D47" s="294">
        <v>30813000</v>
      </c>
      <c r="E47" s="291"/>
      <c r="F47" s="291"/>
      <c r="G47" s="288"/>
      <c r="H47" s="288"/>
      <c r="I47" s="288"/>
      <c r="J47" s="288"/>
      <c r="K47" s="288"/>
      <c r="L47" s="288"/>
      <c r="IK47" s="288"/>
      <c r="IL47" s="288"/>
      <c r="IM47" s="288"/>
      <c r="IN47" s="288"/>
      <c r="IO47" s="288"/>
      <c r="IP47" s="288"/>
      <c r="IQ47" s="288"/>
      <c r="IR47" s="288"/>
      <c r="IS47" s="288"/>
    </row>
    <row r="48" spans="1:253" s="287" customFormat="1" ht="100.5" customHeight="1">
      <c r="A48" s="6">
        <v>18050500</v>
      </c>
      <c r="B48" s="295" t="s">
        <v>196</v>
      </c>
      <c r="C48" s="284">
        <f t="shared" si="1"/>
        <v>381800</v>
      </c>
      <c r="D48" s="294">
        <v>381800</v>
      </c>
      <c r="E48" s="291"/>
      <c r="F48" s="291"/>
      <c r="G48" s="288"/>
      <c r="H48" s="288"/>
      <c r="I48" s="288"/>
      <c r="J48" s="288"/>
      <c r="K48" s="288"/>
      <c r="L48" s="288"/>
      <c r="IK48" s="288"/>
      <c r="IL48" s="288"/>
      <c r="IM48" s="288"/>
      <c r="IN48" s="288"/>
      <c r="IO48" s="288"/>
      <c r="IP48" s="288"/>
      <c r="IQ48" s="288"/>
      <c r="IR48" s="288"/>
      <c r="IS48" s="288"/>
    </row>
    <row r="49" spans="1:253" s="287" customFormat="1" ht="16.5" customHeight="1">
      <c r="A49" s="6">
        <v>19000000</v>
      </c>
      <c r="B49" s="298" t="s">
        <v>195</v>
      </c>
      <c r="C49" s="284">
        <f t="shared" si="1"/>
        <v>97900</v>
      </c>
      <c r="D49" s="294">
        <f>D50</f>
        <v>0</v>
      </c>
      <c r="E49" s="294">
        <f>E50</f>
        <v>97900</v>
      </c>
      <c r="F49" s="294"/>
      <c r="G49" s="288"/>
      <c r="H49" s="288"/>
      <c r="I49" s="288"/>
      <c r="J49" s="288"/>
      <c r="K49" s="288"/>
      <c r="L49" s="288"/>
      <c r="IK49" s="288"/>
      <c r="IL49" s="288"/>
      <c r="IM49" s="288"/>
      <c r="IN49" s="288"/>
      <c r="IO49" s="288"/>
      <c r="IP49" s="288"/>
      <c r="IQ49" s="288"/>
      <c r="IR49" s="288"/>
      <c r="IS49" s="288"/>
    </row>
    <row r="50" spans="1:253" s="287" customFormat="1" ht="16.5" customHeight="1">
      <c r="A50" s="6">
        <v>19010000</v>
      </c>
      <c r="B50" s="298" t="s">
        <v>194</v>
      </c>
      <c r="C50" s="284">
        <f t="shared" si="1"/>
        <v>97900</v>
      </c>
      <c r="D50" s="294"/>
      <c r="E50" s="291">
        <v>97900</v>
      </c>
      <c r="F50" s="291"/>
      <c r="G50" s="288"/>
      <c r="H50" s="288"/>
      <c r="I50" s="288"/>
      <c r="J50" s="288"/>
      <c r="K50" s="288"/>
      <c r="L50" s="288"/>
      <c r="IK50" s="288"/>
      <c r="IL50" s="288"/>
      <c r="IM50" s="288"/>
      <c r="IN50" s="288"/>
      <c r="IO50" s="288"/>
      <c r="IP50" s="288"/>
      <c r="IQ50" s="288"/>
      <c r="IR50" s="288"/>
      <c r="IS50" s="288"/>
    </row>
    <row r="51" spans="1:253" s="287" customFormat="1" ht="98.25" customHeight="1">
      <c r="A51" s="6">
        <v>19010100</v>
      </c>
      <c r="B51" s="298" t="s">
        <v>193</v>
      </c>
      <c r="C51" s="284">
        <f t="shared" si="1"/>
        <v>23060</v>
      </c>
      <c r="D51" s="294"/>
      <c r="E51" s="291">
        <f>22000+1060</f>
        <v>23060</v>
      </c>
      <c r="F51" s="291"/>
      <c r="G51" s="288"/>
      <c r="H51" s="288"/>
      <c r="I51" s="301"/>
      <c r="J51" s="288"/>
      <c r="K51" s="288"/>
      <c r="L51" s="288"/>
      <c r="IK51" s="288"/>
      <c r="IL51" s="288"/>
      <c r="IM51" s="288"/>
      <c r="IN51" s="288"/>
      <c r="IO51" s="288"/>
      <c r="IP51" s="288"/>
      <c r="IQ51" s="288"/>
      <c r="IR51" s="288"/>
      <c r="IS51" s="288"/>
    </row>
    <row r="52" spans="1:253" s="287" customFormat="1" ht="31.5">
      <c r="A52" s="6">
        <v>19010200</v>
      </c>
      <c r="B52" s="298" t="s">
        <v>192</v>
      </c>
      <c r="C52" s="284">
        <f t="shared" si="1"/>
        <v>61000</v>
      </c>
      <c r="D52" s="294"/>
      <c r="E52" s="291">
        <f>61000</f>
        <v>61000</v>
      </c>
      <c r="F52" s="291"/>
      <c r="G52" s="288"/>
      <c r="H52" s="288"/>
      <c r="I52" s="288"/>
      <c r="J52" s="288"/>
      <c r="K52" s="288"/>
      <c r="L52" s="288"/>
      <c r="IK52" s="288"/>
      <c r="IL52" s="288"/>
      <c r="IM52" s="288"/>
      <c r="IN52" s="288"/>
      <c r="IO52" s="288"/>
      <c r="IP52" s="288"/>
      <c r="IQ52" s="288"/>
      <c r="IR52" s="288"/>
      <c r="IS52" s="288"/>
    </row>
    <row r="53" spans="1:253" s="287" customFormat="1" ht="70.5" customHeight="1">
      <c r="A53" s="6">
        <v>19010300</v>
      </c>
      <c r="B53" s="298" t="s">
        <v>191</v>
      </c>
      <c r="C53" s="284">
        <f t="shared" si="1"/>
        <v>13840</v>
      </c>
      <c r="D53" s="294"/>
      <c r="E53" s="291">
        <f>10000+3840</f>
        <v>13840</v>
      </c>
      <c r="F53" s="291"/>
      <c r="G53" s="288"/>
      <c r="H53" s="288"/>
      <c r="I53" s="288"/>
      <c r="J53" s="288"/>
      <c r="K53" s="288"/>
      <c r="L53" s="288"/>
      <c r="IK53" s="288"/>
      <c r="IL53" s="288"/>
      <c r="IM53" s="288"/>
      <c r="IN53" s="288"/>
      <c r="IO53" s="288"/>
      <c r="IP53" s="288"/>
      <c r="IQ53" s="288"/>
      <c r="IR53" s="288"/>
      <c r="IS53" s="288"/>
    </row>
    <row r="54" spans="1:253" s="3" customFormat="1" ht="15.75">
      <c r="A54" s="286">
        <v>20000000</v>
      </c>
      <c r="B54" s="299" t="s">
        <v>190</v>
      </c>
      <c r="C54" s="284">
        <f t="shared" si="1"/>
        <v>17572768</v>
      </c>
      <c r="D54" s="284">
        <f>D55+D63+D73</f>
        <v>6909475</v>
      </c>
      <c r="E54" s="284">
        <f>E73+E83</f>
        <v>10663293</v>
      </c>
      <c r="F54" s="284">
        <f>F55+F63+F73+F83</f>
        <v>200012</v>
      </c>
      <c r="G54" s="308"/>
      <c r="H54" s="279"/>
      <c r="I54" s="279"/>
      <c r="J54" s="279"/>
      <c r="K54" s="279"/>
      <c r="L54" s="279"/>
      <c r="IK54" s="279"/>
      <c r="IL54" s="279"/>
      <c r="IM54" s="279"/>
      <c r="IN54" s="279"/>
      <c r="IO54" s="279"/>
      <c r="IP54" s="279"/>
      <c r="IQ54" s="279"/>
      <c r="IR54" s="279"/>
      <c r="IS54" s="279"/>
    </row>
    <row r="55" spans="1:253" s="287" customFormat="1" ht="36" customHeight="1">
      <c r="A55" s="6">
        <v>21000000</v>
      </c>
      <c r="B55" s="298" t="s">
        <v>189</v>
      </c>
      <c r="C55" s="284">
        <f t="shared" si="1"/>
        <v>321814</v>
      </c>
      <c r="D55" s="294">
        <f>D56+D58</f>
        <v>321814</v>
      </c>
      <c r="E55" s="294">
        <f>E56</f>
        <v>0</v>
      </c>
      <c r="F55" s="294"/>
      <c r="G55" s="288"/>
      <c r="H55" s="288"/>
      <c r="I55" s="288"/>
      <c r="J55" s="288"/>
      <c r="K55" s="288"/>
      <c r="L55" s="288"/>
      <c r="IK55" s="288"/>
      <c r="IL55" s="288"/>
      <c r="IM55" s="288"/>
      <c r="IN55" s="288"/>
      <c r="IO55" s="288"/>
      <c r="IP55" s="288"/>
      <c r="IQ55" s="288"/>
      <c r="IR55" s="288"/>
      <c r="IS55" s="288"/>
    </row>
    <row r="56" spans="1:253" s="287" customFormat="1" ht="130.5" customHeight="1">
      <c r="A56" s="6">
        <v>21010000</v>
      </c>
      <c r="B56" s="298" t="s">
        <v>188</v>
      </c>
      <c r="C56" s="284">
        <f t="shared" si="1"/>
        <v>7000</v>
      </c>
      <c r="D56" s="294">
        <f>D57</f>
        <v>7000</v>
      </c>
      <c r="E56" s="294">
        <f>E57</f>
        <v>0</v>
      </c>
      <c r="F56" s="294"/>
      <c r="G56" s="288"/>
      <c r="H56" s="288"/>
      <c r="I56" s="288"/>
      <c r="J56" s="288"/>
      <c r="K56" s="288"/>
      <c r="L56" s="288"/>
      <c r="IK56" s="288"/>
      <c r="IL56" s="288"/>
      <c r="IM56" s="288"/>
      <c r="IN56" s="288"/>
      <c r="IO56" s="288"/>
      <c r="IP56" s="288"/>
      <c r="IQ56" s="288"/>
      <c r="IR56" s="288"/>
      <c r="IS56" s="288"/>
    </row>
    <row r="57" spans="1:253" s="287" customFormat="1" ht="69" customHeight="1">
      <c r="A57" s="6">
        <v>21010300</v>
      </c>
      <c r="B57" s="298" t="s">
        <v>187</v>
      </c>
      <c r="C57" s="284">
        <f t="shared" si="1"/>
        <v>7000</v>
      </c>
      <c r="D57" s="294">
        <v>7000</v>
      </c>
      <c r="E57" s="291"/>
      <c r="F57" s="291"/>
      <c r="G57" s="288"/>
      <c r="H57" s="288"/>
      <c r="I57" s="288"/>
      <c r="J57" s="288"/>
      <c r="K57" s="288"/>
      <c r="L57" s="288"/>
      <c r="IK57" s="288"/>
      <c r="IL57" s="288"/>
      <c r="IM57" s="288"/>
      <c r="IN57" s="288"/>
      <c r="IO57" s="288"/>
      <c r="IP57" s="288"/>
      <c r="IQ57" s="288"/>
      <c r="IR57" s="288"/>
      <c r="IS57" s="288"/>
    </row>
    <row r="58" spans="1:253" s="287" customFormat="1" ht="15.75">
      <c r="A58" s="306">
        <v>21080000</v>
      </c>
      <c r="B58" s="307" t="s">
        <v>171</v>
      </c>
      <c r="C58" s="284">
        <f t="shared" si="1"/>
        <v>314814</v>
      </c>
      <c r="D58" s="294">
        <f>D60+D61+D59+D62</f>
        <v>314814</v>
      </c>
      <c r="E58" s="294">
        <f>E60+E61+E59+E62</f>
        <v>0</v>
      </c>
      <c r="F58" s="294">
        <f>F60+F61+F59+F62</f>
        <v>0</v>
      </c>
      <c r="G58" s="288"/>
      <c r="H58" s="288"/>
      <c r="I58" s="288"/>
      <c r="J58" s="288"/>
      <c r="K58" s="288"/>
      <c r="L58" s="288"/>
      <c r="IK58" s="288"/>
      <c r="IL58" s="288"/>
      <c r="IM58" s="288"/>
      <c r="IN58" s="288"/>
      <c r="IO58" s="288"/>
      <c r="IP58" s="288"/>
      <c r="IQ58" s="288"/>
      <c r="IR58" s="288"/>
      <c r="IS58" s="288"/>
    </row>
    <row r="59" spans="1:253" s="287" customFormat="1" ht="21.75" customHeight="1">
      <c r="A59" s="306">
        <v>21081100</v>
      </c>
      <c r="B59" s="303" t="s">
        <v>186</v>
      </c>
      <c r="C59" s="284">
        <f t="shared" si="1"/>
        <v>125800</v>
      </c>
      <c r="D59" s="294">
        <v>125800</v>
      </c>
      <c r="E59" s="294"/>
      <c r="F59" s="294"/>
      <c r="G59" s="288"/>
      <c r="H59" s="288"/>
      <c r="I59" s="288"/>
      <c r="J59" s="288"/>
      <c r="K59" s="288"/>
      <c r="L59" s="288"/>
      <c r="IK59" s="288"/>
      <c r="IL59" s="288"/>
      <c r="IM59" s="288"/>
      <c r="IN59" s="288"/>
      <c r="IO59" s="288"/>
      <c r="IP59" s="288"/>
      <c r="IQ59" s="288"/>
      <c r="IR59" s="288"/>
      <c r="IS59" s="288"/>
    </row>
    <row r="60" spans="1:253" s="287" customFormat="1" ht="64.5" customHeight="1">
      <c r="A60" s="306">
        <v>21081500</v>
      </c>
      <c r="B60" s="303" t="s">
        <v>185</v>
      </c>
      <c r="C60" s="284">
        <f t="shared" si="1"/>
        <v>187000</v>
      </c>
      <c r="D60" s="294">
        <v>187000</v>
      </c>
      <c r="E60" s="291"/>
      <c r="F60" s="291"/>
      <c r="G60" s="288"/>
      <c r="H60" s="288"/>
      <c r="I60" s="288"/>
      <c r="J60" s="288"/>
      <c r="K60" s="288"/>
      <c r="L60" s="288"/>
      <c r="IK60" s="288"/>
      <c r="IL60" s="288"/>
      <c r="IM60" s="288"/>
      <c r="IN60" s="288"/>
      <c r="IO60" s="288"/>
      <c r="IP60" s="288"/>
      <c r="IQ60" s="288"/>
      <c r="IR60" s="288"/>
      <c r="IS60" s="288"/>
    </row>
    <row r="61" spans="1:253" s="287" customFormat="1" ht="60" customHeight="1" hidden="1">
      <c r="A61" s="306">
        <v>21081500</v>
      </c>
      <c r="B61" s="305" t="s">
        <v>185</v>
      </c>
      <c r="C61" s="284">
        <f t="shared" si="1"/>
        <v>0</v>
      </c>
      <c r="D61" s="294"/>
      <c r="E61" s="291"/>
      <c r="F61" s="291"/>
      <c r="G61" s="288"/>
      <c r="H61" s="288"/>
      <c r="I61" s="288"/>
      <c r="J61" s="288"/>
      <c r="K61" s="288"/>
      <c r="L61" s="288"/>
      <c r="IK61" s="288"/>
      <c r="IL61" s="288"/>
      <c r="IM61" s="288"/>
      <c r="IN61" s="288"/>
      <c r="IO61" s="288"/>
      <c r="IP61" s="288"/>
      <c r="IQ61" s="288"/>
      <c r="IR61" s="288"/>
      <c r="IS61" s="288"/>
    </row>
    <row r="62" spans="1:253" s="287" customFormat="1" ht="31.5">
      <c r="A62" s="306">
        <v>21081700</v>
      </c>
      <c r="B62" s="305" t="s">
        <v>184</v>
      </c>
      <c r="C62" s="284">
        <f t="shared" si="1"/>
        <v>2014</v>
      </c>
      <c r="D62" s="294">
        <v>2014</v>
      </c>
      <c r="E62" s="291"/>
      <c r="F62" s="291"/>
      <c r="G62" s="288"/>
      <c r="H62" s="288"/>
      <c r="I62" s="288"/>
      <c r="J62" s="288"/>
      <c r="K62" s="288"/>
      <c r="L62" s="288"/>
      <c r="IK62" s="288"/>
      <c r="IL62" s="288"/>
      <c r="IM62" s="288"/>
      <c r="IN62" s="288"/>
      <c r="IO62" s="288"/>
      <c r="IP62" s="288"/>
      <c r="IQ62" s="288"/>
      <c r="IR62" s="288"/>
      <c r="IS62" s="288"/>
    </row>
    <row r="63" spans="1:253" s="287" customFormat="1" ht="52.5" customHeight="1">
      <c r="A63" s="6">
        <v>22000000</v>
      </c>
      <c r="B63" s="298" t="s">
        <v>183</v>
      </c>
      <c r="C63" s="284">
        <f t="shared" si="1"/>
        <v>6491500</v>
      </c>
      <c r="D63" s="294">
        <f>D64+D68+D70</f>
        <v>6491500</v>
      </c>
      <c r="E63" s="294">
        <f>E68+E70</f>
        <v>0</v>
      </c>
      <c r="F63" s="294"/>
      <c r="G63" s="288"/>
      <c r="H63" s="288"/>
      <c r="I63" s="288"/>
      <c r="J63" s="288"/>
      <c r="K63" s="288"/>
      <c r="L63" s="288"/>
      <c r="IK63" s="288"/>
      <c r="IL63" s="288"/>
      <c r="IM63" s="288"/>
      <c r="IN63" s="288"/>
      <c r="IO63" s="288"/>
      <c r="IP63" s="288"/>
      <c r="IQ63" s="288"/>
      <c r="IR63" s="288"/>
      <c r="IS63" s="288"/>
    </row>
    <row r="64" spans="1:253" s="287" customFormat="1" ht="31.5">
      <c r="A64" s="304">
        <v>22010000</v>
      </c>
      <c r="B64" s="303" t="s">
        <v>182</v>
      </c>
      <c r="C64" s="284">
        <f t="shared" si="1"/>
        <v>3333500</v>
      </c>
      <c r="D64" s="294">
        <f>D66+D65+D67</f>
        <v>3333500</v>
      </c>
      <c r="E64" s="294">
        <f>E66+E65+E67</f>
        <v>0</v>
      </c>
      <c r="F64" s="294">
        <f>F66+F65+F67</f>
        <v>0</v>
      </c>
      <c r="G64" s="288"/>
      <c r="H64" s="288"/>
      <c r="I64" s="288"/>
      <c r="J64" s="288"/>
      <c r="K64" s="288"/>
      <c r="L64" s="288"/>
      <c r="IK64" s="288"/>
      <c r="IL64" s="288"/>
      <c r="IM64" s="288"/>
      <c r="IN64" s="288"/>
      <c r="IO64" s="288"/>
      <c r="IP64" s="288"/>
      <c r="IQ64" s="288"/>
      <c r="IR64" s="288"/>
      <c r="IS64" s="288"/>
    </row>
    <row r="65" spans="1:253" s="287" customFormat="1" ht="69" customHeight="1">
      <c r="A65" s="304">
        <v>22010300</v>
      </c>
      <c r="B65" s="303" t="s">
        <v>181</v>
      </c>
      <c r="C65" s="284">
        <f t="shared" si="1"/>
        <v>143600</v>
      </c>
      <c r="D65" s="294">
        <v>143600</v>
      </c>
      <c r="E65" s="294"/>
      <c r="F65" s="294"/>
      <c r="G65" s="288"/>
      <c r="H65" s="288"/>
      <c r="I65" s="288"/>
      <c r="J65" s="288"/>
      <c r="K65" s="288"/>
      <c r="L65" s="288"/>
      <c r="IK65" s="288"/>
      <c r="IL65" s="288"/>
      <c r="IM65" s="288"/>
      <c r="IN65" s="288"/>
      <c r="IO65" s="288"/>
      <c r="IP65" s="288"/>
      <c r="IQ65" s="288"/>
      <c r="IR65" s="288"/>
      <c r="IS65" s="288"/>
    </row>
    <row r="66" spans="1:253" s="287" customFormat="1" ht="31.5">
      <c r="A66" s="304">
        <v>22012500</v>
      </c>
      <c r="B66" s="303" t="s">
        <v>180</v>
      </c>
      <c r="C66" s="284">
        <f t="shared" si="1"/>
        <v>2829900</v>
      </c>
      <c r="D66" s="294">
        <v>2829900</v>
      </c>
      <c r="E66" s="294"/>
      <c r="F66" s="294"/>
      <c r="G66" s="288"/>
      <c r="H66" s="288"/>
      <c r="I66" s="288"/>
      <c r="J66" s="288"/>
      <c r="K66" s="288"/>
      <c r="L66" s="288"/>
      <c r="IK66" s="288"/>
      <c r="IL66" s="288"/>
      <c r="IM66" s="288"/>
      <c r="IN66" s="288"/>
      <c r="IO66" s="288"/>
      <c r="IP66" s="288"/>
      <c r="IQ66" s="288"/>
      <c r="IR66" s="288"/>
      <c r="IS66" s="288"/>
    </row>
    <row r="67" spans="1:253" s="287" customFormat="1" ht="51.75" customHeight="1">
      <c r="A67" s="304">
        <v>22012600</v>
      </c>
      <c r="B67" s="303" t="s">
        <v>179</v>
      </c>
      <c r="C67" s="284">
        <f t="shared" si="1"/>
        <v>360000</v>
      </c>
      <c r="D67" s="294">
        <v>360000</v>
      </c>
      <c r="E67" s="294"/>
      <c r="F67" s="294"/>
      <c r="G67" s="288"/>
      <c r="H67" s="288"/>
      <c r="I67" s="288"/>
      <c r="J67" s="288"/>
      <c r="K67" s="288"/>
      <c r="L67" s="288"/>
      <c r="IK67" s="288"/>
      <c r="IL67" s="288"/>
      <c r="IM67" s="288"/>
      <c r="IN67" s="288"/>
      <c r="IO67" s="288"/>
      <c r="IP67" s="288"/>
      <c r="IQ67" s="288"/>
      <c r="IR67" s="288"/>
      <c r="IS67" s="288"/>
    </row>
    <row r="68" spans="1:253" s="287" customFormat="1" ht="62.25" customHeight="1">
      <c r="A68" s="6">
        <v>22080000</v>
      </c>
      <c r="B68" s="298" t="s">
        <v>178</v>
      </c>
      <c r="C68" s="284">
        <f t="shared" si="1"/>
        <v>3108000</v>
      </c>
      <c r="D68" s="294">
        <f>D69</f>
        <v>3108000</v>
      </c>
      <c r="E68" s="294">
        <f>E69</f>
        <v>0</v>
      </c>
      <c r="F68" s="294"/>
      <c r="G68" s="288"/>
      <c r="H68" s="288"/>
      <c r="I68" s="288"/>
      <c r="J68" s="288"/>
      <c r="K68" s="288"/>
      <c r="L68" s="288"/>
      <c r="IK68" s="288"/>
      <c r="IL68" s="288"/>
      <c r="IM68" s="288"/>
      <c r="IN68" s="288"/>
      <c r="IO68" s="288"/>
      <c r="IP68" s="288"/>
      <c r="IQ68" s="288"/>
      <c r="IR68" s="288"/>
      <c r="IS68" s="288"/>
    </row>
    <row r="69" spans="1:253" s="287" customFormat="1" ht="67.5" customHeight="1">
      <c r="A69" s="6">
        <v>22080400</v>
      </c>
      <c r="B69" s="298" t="s">
        <v>177</v>
      </c>
      <c r="C69" s="284">
        <f t="shared" si="1"/>
        <v>3108000</v>
      </c>
      <c r="D69" s="294">
        <v>3108000</v>
      </c>
      <c r="E69" s="291"/>
      <c r="F69" s="291"/>
      <c r="G69" s="288"/>
      <c r="H69" s="288"/>
      <c r="I69" s="288"/>
      <c r="J69" s="288"/>
      <c r="K69" s="288"/>
      <c r="L69" s="288"/>
      <c r="IK69" s="288"/>
      <c r="IL69" s="288"/>
      <c r="IM69" s="288"/>
      <c r="IN69" s="288"/>
      <c r="IO69" s="288"/>
      <c r="IP69" s="288"/>
      <c r="IQ69" s="288"/>
      <c r="IR69" s="288"/>
      <c r="IS69" s="288"/>
    </row>
    <row r="70" spans="1:253" s="287" customFormat="1" ht="15.75">
      <c r="A70" s="6">
        <v>22090000</v>
      </c>
      <c r="B70" s="298" t="s">
        <v>176</v>
      </c>
      <c r="C70" s="284">
        <f t="shared" si="1"/>
        <v>50000</v>
      </c>
      <c r="D70" s="294">
        <v>50000</v>
      </c>
      <c r="E70" s="291"/>
      <c r="F70" s="291"/>
      <c r="G70" s="288"/>
      <c r="H70" s="288"/>
      <c r="I70" s="288"/>
      <c r="J70" s="288"/>
      <c r="K70" s="288"/>
      <c r="L70" s="288"/>
      <c r="IK70" s="288"/>
      <c r="IL70" s="288"/>
      <c r="IM70" s="288"/>
      <c r="IN70" s="288"/>
      <c r="IO70" s="288"/>
      <c r="IP70" s="288"/>
      <c r="IQ70" s="288"/>
      <c r="IR70" s="288"/>
      <c r="IS70" s="288"/>
    </row>
    <row r="71" spans="1:253" s="287" customFormat="1" ht="68.25" customHeight="1">
      <c r="A71" s="6">
        <v>22090100</v>
      </c>
      <c r="B71" s="298" t="s">
        <v>175</v>
      </c>
      <c r="C71" s="284">
        <f t="shared" si="1"/>
        <v>14000</v>
      </c>
      <c r="D71" s="294">
        <v>14000</v>
      </c>
      <c r="E71" s="291"/>
      <c r="F71" s="291"/>
      <c r="G71" s="288"/>
      <c r="H71" s="288"/>
      <c r="I71" s="301"/>
      <c r="J71" s="288"/>
      <c r="K71" s="288"/>
      <c r="L71" s="288"/>
      <c r="IK71" s="288"/>
      <c r="IL71" s="288"/>
      <c r="IM71" s="288"/>
      <c r="IN71" s="288"/>
      <c r="IO71" s="288"/>
      <c r="IP71" s="288"/>
      <c r="IQ71" s="288"/>
      <c r="IR71" s="288"/>
      <c r="IS71" s="288"/>
    </row>
    <row r="72" spans="1:253" s="287" customFormat="1" ht="66.75" customHeight="1">
      <c r="A72" s="6">
        <v>22090400</v>
      </c>
      <c r="B72" s="298" t="s">
        <v>174</v>
      </c>
      <c r="C72" s="284">
        <f t="shared" si="1"/>
        <v>36000</v>
      </c>
      <c r="D72" s="294">
        <v>36000</v>
      </c>
      <c r="E72" s="291"/>
      <c r="F72" s="291"/>
      <c r="G72" s="288"/>
      <c r="H72" s="288"/>
      <c r="I72" s="288"/>
      <c r="J72" s="288"/>
      <c r="K72" s="288"/>
      <c r="L72" s="288"/>
      <c r="IK72" s="288"/>
      <c r="IL72" s="288"/>
      <c r="IM72" s="288"/>
      <c r="IN72" s="288"/>
      <c r="IO72" s="288"/>
      <c r="IP72" s="288"/>
      <c r="IQ72" s="288"/>
      <c r="IR72" s="288"/>
      <c r="IS72" s="288"/>
    </row>
    <row r="73" spans="1:253" s="287" customFormat="1" ht="13.5" customHeight="1">
      <c r="A73" s="6">
        <v>24000000</v>
      </c>
      <c r="B73" s="298" t="s">
        <v>173</v>
      </c>
      <c r="C73" s="284">
        <f t="shared" si="1"/>
        <v>323173</v>
      </c>
      <c r="D73" s="294">
        <f>D74+D75+D80+D82</f>
        <v>96161</v>
      </c>
      <c r="E73" s="294">
        <f>E74+E75+E80+E82</f>
        <v>227012</v>
      </c>
      <c r="F73" s="294">
        <f>F74+F75+F80+F82</f>
        <v>200012</v>
      </c>
      <c r="G73" s="288"/>
      <c r="H73" s="288"/>
      <c r="I73" s="288"/>
      <c r="J73" s="288"/>
      <c r="K73" s="288"/>
      <c r="L73" s="288"/>
      <c r="IK73" s="288"/>
      <c r="IL73" s="288"/>
      <c r="IM73" s="288"/>
      <c r="IN73" s="288"/>
      <c r="IO73" s="288"/>
      <c r="IP73" s="288"/>
      <c r="IQ73" s="288"/>
      <c r="IR73" s="288"/>
      <c r="IS73" s="288"/>
    </row>
    <row r="74" spans="1:253" s="287" customFormat="1" ht="80.25" customHeight="1">
      <c r="A74" s="6">
        <v>24030000</v>
      </c>
      <c r="B74" s="298" t="s">
        <v>172</v>
      </c>
      <c r="C74" s="284">
        <f>D74+E74</f>
        <v>24161</v>
      </c>
      <c r="D74" s="294">
        <v>24161</v>
      </c>
      <c r="E74" s="294"/>
      <c r="F74" s="291"/>
      <c r="G74" s="288"/>
      <c r="H74" s="288"/>
      <c r="I74" s="288"/>
      <c r="J74" s="288"/>
      <c r="K74" s="288"/>
      <c r="L74" s="288"/>
      <c r="IK74" s="288"/>
      <c r="IL74" s="288"/>
      <c r="IM74" s="288"/>
      <c r="IN74" s="288"/>
      <c r="IO74" s="288"/>
      <c r="IP74" s="288"/>
      <c r="IQ74" s="288"/>
      <c r="IR74" s="288"/>
      <c r="IS74" s="288"/>
    </row>
    <row r="75" spans="1:253" s="287" customFormat="1" ht="15.75">
      <c r="A75" s="6">
        <v>24060000</v>
      </c>
      <c r="B75" s="298" t="s">
        <v>171</v>
      </c>
      <c r="C75" s="284">
        <f>D75+E75</f>
        <v>99000</v>
      </c>
      <c r="D75" s="294">
        <f>D76+D77+D78+D79</f>
        <v>72000</v>
      </c>
      <c r="E75" s="294">
        <f>E76+E77+E78+E79</f>
        <v>27000</v>
      </c>
      <c r="F75" s="294">
        <f>F76+F77+F78+F79</f>
        <v>0</v>
      </c>
      <c r="G75" s="288"/>
      <c r="H75" s="288"/>
      <c r="I75" s="288"/>
      <c r="J75" s="288"/>
      <c r="K75" s="288"/>
      <c r="L75" s="288"/>
      <c r="IK75" s="288"/>
      <c r="IL75" s="288"/>
      <c r="IM75" s="288"/>
      <c r="IN75" s="288"/>
      <c r="IO75" s="288"/>
      <c r="IP75" s="288"/>
      <c r="IQ75" s="288"/>
      <c r="IR75" s="288"/>
      <c r="IS75" s="288"/>
    </row>
    <row r="76" spans="1:253" s="287" customFormat="1" ht="15.75">
      <c r="A76" s="6">
        <v>24060300</v>
      </c>
      <c r="B76" s="298" t="s">
        <v>171</v>
      </c>
      <c r="C76" s="284">
        <f>D76+E76</f>
        <v>72000</v>
      </c>
      <c r="D76" s="294">
        <v>72000</v>
      </c>
      <c r="E76" s="294"/>
      <c r="F76" s="294"/>
      <c r="G76" s="288"/>
      <c r="H76" s="288"/>
      <c r="I76" s="288"/>
      <c r="J76" s="288"/>
      <c r="K76" s="288"/>
      <c r="L76" s="288"/>
      <c r="IK76" s="288"/>
      <c r="IL76" s="288"/>
      <c r="IM76" s="288"/>
      <c r="IN76" s="288"/>
      <c r="IO76" s="288"/>
      <c r="IP76" s="288"/>
      <c r="IQ76" s="288"/>
      <c r="IR76" s="288"/>
      <c r="IS76" s="288"/>
    </row>
    <row r="77" spans="1:253" s="287" customFormat="1" ht="40.5" customHeight="1">
      <c r="A77" s="6">
        <v>24061600</v>
      </c>
      <c r="B77" s="298" t="s">
        <v>170</v>
      </c>
      <c r="C77" s="284">
        <f>D77+E77</f>
        <v>17000</v>
      </c>
      <c r="D77" s="302"/>
      <c r="E77" s="294">
        <v>17000</v>
      </c>
      <c r="F77" s="294"/>
      <c r="G77" s="288"/>
      <c r="H77" s="288"/>
      <c r="I77" s="288"/>
      <c r="J77" s="288"/>
      <c r="K77" s="288"/>
      <c r="L77" s="288"/>
      <c r="IK77" s="288"/>
      <c r="IL77" s="288"/>
      <c r="IM77" s="288"/>
      <c r="IN77" s="288"/>
      <c r="IO77" s="288"/>
      <c r="IP77" s="288"/>
      <c r="IQ77" s="288"/>
      <c r="IR77" s="288"/>
      <c r="IS77" s="288"/>
    </row>
    <row r="78" spans="1:253" s="287" customFormat="1" ht="85.5" customHeight="1">
      <c r="A78" s="6">
        <v>24062100</v>
      </c>
      <c r="B78" s="298" t="s">
        <v>169</v>
      </c>
      <c r="C78" s="284">
        <f>D78+E78</f>
        <v>10000</v>
      </c>
      <c r="D78" s="302"/>
      <c r="E78" s="294">
        <v>10000</v>
      </c>
      <c r="F78" s="294"/>
      <c r="G78" s="288"/>
      <c r="H78" s="288"/>
      <c r="I78" s="288"/>
      <c r="J78" s="288"/>
      <c r="K78" s="288"/>
      <c r="L78" s="288"/>
      <c r="IK78" s="288"/>
      <c r="IL78" s="288"/>
      <c r="IM78" s="288"/>
      <c r="IN78" s="288"/>
      <c r="IO78" s="288"/>
      <c r="IP78" s="288"/>
      <c r="IQ78" s="288"/>
      <c r="IR78" s="288"/>
      <c r="IS78" s="288"/>
    </row>
    <row r="79" spans="1:253" s="287" customFormat="1" ht="204.75" hidden="1">
      <c r="A79" s="6">
        <v>24062200</v>
      </c>
      <c r="B79" s="298" t="s">
        <v>168</v>
      </c>
      <c r="C79" s="284"/>
      <c r="D79" s="302"/>
      <c r="E79" s="294"/>
      <c r="F79" s="294"/>
      <c r="G79" s="288"/>
      <c r="H79" s="288"/>
      <c r="I79" s="288"/>
      <c r="J79" s="288"/>
      <c r="K79" s="288"/>
      <c r="L79" s="288"/>
      <c r="IK79" s="288"/>
      <c r="IL79" s="288"/>
      <c r="IM79" s="288"/>
      <c r="IN79" s="288"/>
      <c r="IO79" s="288"/>
      <c r="IP79" s="288"/>
      <c r="IQ79" s="288"/>
      <c r="IR79" s="288"/>
      <c r="IS79" s="288"/>
    </row>
    <row r="80" spans="1:253" s="287" customFormat="1" ht="31.5">
      <c r="A80" s="6">
        <v>24110000</v>
      </c>
      <c r="B80" s="298" t="s">
        <v>167</v>
      </c>
      <c r="C80" s="284">
        <f aca="true" t="shared" si="2" ref="C80:C87">D80+E80</f>
        <v>12</v>
      </c>
      <c r="D80" s="294"/>
      <c r="E80" s="294">
        <f>E81</f>
        <v>12</v>
      </c>
      <c r="F80" s="294">
        <f>F81</f>
        <v>12</v>
      </c>
      <c r="G80" s="288"/>
      <c r="H80" s="288"/>
      <c r="I80" s="288"/>
      <c r="J80" s="288"/>
      <c r="K80" s="288"/>
      <c r="L80" s="288"/>
      <c r="IK80" s="288"/>
      <c r="IL80" s="288"/>
      <c r="IM80" s="288"/>
      <c r="IN80" s="288"/>
      <c r="IO80" s="288"/>
      <c r="IP80" s="288"/>
      <c r="IQ80" s="288"/>
      <c r="IR80" s="288"/>
      <c r="IS80" s="288"/>
    </row>
    <row r="81" spans="1:253" s="287" customFormat="1" ht="57.75" customHeight="1">
      <c r="A81" s="6">
        <v>24110700</v>
      </c>
      <c r="B81" s="298" t="s">
        <v>166</v>
      </c>
      <c r="C81" s="284">
        <f t="shared" si="2"/>
        <v>12</v>
      </c>
      <c r="D81" s="294"/>
      <c r="E81" s="294">
        <f>F81</f>
        <v>12</v>
      </c>
      <c r="F81" s="294">
        <v>12</v>
      </c>
      <c r="G81" s="288"/>
      <c r="H81" s="288"/>
      <c r="I81" s="288"/>
      <c r="J81" s="288"/>
      <c r="K81" s="288"/>
      <c r="L81" s="288"/>
      <c r="IK81" s="288"/>
      <c r="IL81" s="288"/>
      <c r="IM81" s="288"/>
      <c r="IN81" s="288"/>
      <c r="IO81" s="288"/>
      <c r="IP81" s="288"/>
      <c r="IQ81" s="288"/>
      <c r="IR81" s="288"/>
      <c r="IS81" s="288"/>
    </row>
    <row r="82" spans="1:253" s="287" customFormat="1" ht="55.5" customHeight="1">
      <c r="A82" s="6">
        <v>24170000</v>
      </c>
      <c r="B82" s="298" t="s">
        <v>165</v>
      </c>
      <c r="C82" s="284">
        <f t="shared" si="2"/>
        <v>200000</v>
      </c>
      <c r="D82" s="294"/>
      <c r="E82" s="294">
        <f>F82</f>
        <v>200000</v>
      </c>
      <c r="F82" s="294">
        <v>200000</v>
      </c>
      <c r="G82" s="288"/>
      <c r="H82" s="288"/>
      <c r="I82" s="288"/>
      <c r="J82" s="288"/>
      <c r="K82" s="288"/>
      <c r="L82" s="288"/>
      <c r="IK82" s="288"/>
      <c r="IL82" s="288"/>
      <c r="IM82" s="288"/>
      <c r="IN82" s="288"/>
      <c r="IO82" s="288"/>
      <c r="IP82" s="288"/>
      <c r="IQ82" s="288"/>
      <c r="IR82" s="288"/>
      <c r="IS82" s="288"/>
    </row>
    <row r="83" spans="1:253" s="287" customFormat="1" ht="30.75" customHeight="1">
      <c r="A83" s="6">
        <v>25000000</v>
      </c>
      <c r="B83" s="298" t="s">
        <v>164</v>
      </c>
      <c r="C83" s="284">
        <f t="shared" si="2"/>
        <v>10436281</v>
      </c>
      <c r="D83" s="294"/>
      <c r="E83" s="294">
        <f>E84</f>
        <v>10436281</v>
      </c>
      <c r="F83" s="294">
        <f>F84</f>
        <v>0</v>
      </c>
      <c r="G83" s="288"/>
      <c r="H83" s="288"/>
      <c r="I83" s="288"/>
      <c r="J83" s="288"/>
      <c r="K83" s="288"/>
      <c r="L83" s="288"/>
      <c r="IK83" s="288"/>
      <c r="IL83" s="288"/>
      <c r="IM83" s="288"/>
      <c r="IN83" s="288"/>
      <c r="IO83" s="288"/>
      <c r="IP83" s="288"/>
      <c r="IQ83" s="288"/>
      <c r="IR83" s="288"/>
      <c r="IS83" s="288"/>
    </row>
    <row r="84" spans="1:253" s="287" customFormat="1" ht="51.75" customHeight="1">
      <c r="A84" s="6">
        <v>25010000</v>
      </c>
      <c r="B84" s="298" t="s">
        <v>163</v>
      </c>
      <c r="C84" s="284">
        <f t="shared" si="2"/>
        <v>10436281</v>
      </c>
      <c r="D84" s="294"/>
      <c r="E84" s="294">
        <v>10436281</v>
      </c>
      <c r="F84" s="291"/>
      <c r="G84" s="288"/>
      <c r="H84" s="288"/>
      <c r="I84" s="301"/>
      <c r="J84" s="288"/>
      <c r="K84" s="288"/>
      <c r="L84" s="288"/>
      <c r="IK84" s="288"/>
      <c r="IL84" s="288"/>
      <c r="IM84" s="288"/>
      <c r="IN84" s="288"/>
      <c r="IO84" s="288"/>
      <c r="IP84" s="288"/>
      <c r="IQ84" s="288"/>
      <c r="IR84" s="288"/>
      <c r="IS84" s="288"/>
    </row>
    <row r="85" spans="1:253" s="287" customFormat="1" ht="55.5" customHeight="1">
      <c r="A85" s="6">
        <v>25010100</v>
      </c>
      <c r="B85" s="298" t="s">
        <v>162</v>
      </c>
      <c r="C85" s="284">
        <f t="shared" si="2"/>
        <v>10198536</v>
      </c>
      <c r="D85" s="294"/>
      <c r="E85" s="294">
        <v>10198536</v>
      </c>
      <c r="F85" s="291"/>
      <c r="G85" s="288"/>
      <c r="H85" s="288"/>
      <c r="I85" s="288"/>
      <c r="J85" s="288"/>
      <c r="K85" s="288"/>
      <c r="L85" s="288"/>
      <c r="IK85" s="288"/>
      <c r="IL85" s="288"/>
      <c r="IM85" s="288"/>
      <c r="IN85" s="288"/>
      <c r="IO85" s="288"/>
      <c r="IP85" s="288"/>
      <c r="IQ85" s="288"/>
      <c r="IR85" s="288"/>
      <c r="IS85" s="288"/>
    </row>
    <row r="86" spans="1:253" s="287" customFormat="1" ht="31.5">
      <c r="A86" s="6">
        <v>25010300</v>
      </c>
      <c r="B86" s="298" t="s">
        <v>161</v>
      </c>
      <c r="C86" s="284">
        <f t="shared" si="2"/>
        <v>230081</v>
      </c>
      <c r="D86" s="294"/>
      <c r="E86" s="294">
        <v>230081</v>
      </c>
      <c r="F86" s="291"/>
      <c r="G86" s="288"/>
      <c r="H86" s="288"/>
      <c r="I86" s="288"/>
      <c r="J86" s="288"/>
      <c r="K86" s="288"/>
      <c r="L86" s="288"/>
      <c r="IK86" s="288"/>
      <c r="IL86" s="288"/>
      <c r="IM86" s="288"/>
      <c r="IN86" s="288"/>
      <c r="IO86" s="288"/>
      <c r="IP86" s="288"/>
      <c r="IQ86" s="288"/>
      <c r="IR86" s="288"/>
      <c r="IS86" s="288"/>
    </row>
    <row r="87" spans="1:253" s="287" customFormat="1" ht="55.5" customHeight="1">
      <c r="A87" s="6">
        <v>25010400</v>
      </c>
      <c r="B87" s="298" t="s">
        <v>160</v>
      </c>
      <c r="C87" s="284">
        <f t="shared" si="2"/>
        <v>7664</v>
      </c>
      <c r="D87" s="294"/>
      <c r="E87" s="294">
        <v>7664</v>
      </c>
      <c r="F87" s="291"/>
      <c r="G87" s="288"/>
      <c r="H87" s="288"/>
      <c r="I87" s="288"/>
      <c r="J87" s="288"/>
      <c r="K87" s="288"/>
      <c r="L87" s="288"/>
      <c r="IK87" s="288"/>
      <c r="IL87" s="288"/>
      <c r="IM87" s="288"/>
      <c r="IN87" s="288"/>
      <c r="IO87" s="288"/>
      <c r="IP87" s="288"/>
      <c r="IQ87" s="288"/>
      <c r="IR87" s="288"/>
      <c r="IS87" s="288"/>
    </row>
    <row r="88" spans="1:253" s="3" customFormat="1" ht="15.75" customHeight="1">
      <c r="A88" s="286">
        <v>30000000</v>
      </c>
      <c r="B88" s="299" t="s">
        <v>159</v>
      </c>
      <c r="C88" s="284">
        <f>C89+C94</f>
        <v>4224035</v>
      </c>
      <c r="D88" s="284">
        <f>D89+D94</f>
        <v>3944</v>
      </c>
      <c r="E88" s="284">
        <f>E89+E94</f>
        <v>4220091</v>
      </c>
      <c r="F88" s="284">
        <f>F89+F94</f>
        <v>4220091</v>
      </c>
      <c r="G88" s="279"/>
      <c r="H88" s="279"/>
      <c r="I88" s="279"/>
      <c r="J88" s="279"/>
      <c r="K88" s="279"/>
      <c r="L88" s="279"/>
      <c r="IK88" s="279"/>
      <c r="IL88" s="279"/>
      <c r="IM88" s="279"/>
      <c r="IN88" s="279"/>
      <c r="IO88" s="279"/>
      <c r="IP88" s="279"/>
      <c r="IQ88" s="279"/>
      <c r="IR88" s="279"/>
      <c r="IS88" s="279"/>
    </row>
    <row r="89" spans="1:253" s="287" customFormat="1" ht="31.5">
      <c r="A89" s="6">
        <v>31000000</v>
      </c>
      <c r="B89" s="298" t="s">
        <v>158</v>
      </c>
      <c r="C89" s="284">
        <f>C90+C92+C93</f>
        <v>329628</v>
      </c>
      <c r="D89" s="294">
        <f>D90+D92+D93</f>
        <v>3944</v>
      </c>
      <c r="E89" s="294">
        <f>E90+E92+E93</f>
        <v>325684</v>
      </c>
      <c r="F89" s="294">
        <f>F90+F92+F93</f>
        <v>325684</v>
      </c>
      <c r="G89" s="288"/>
      <c r="H89" s="288"/>
      <c r="I89" s="288"/>
      <c r="J89" s="288"/>
      <c r="K89" s="288"/>
      <c r="L89" s="288"/>
      <c r="IK89" s="288"/>
      <c r="IL89" s="288"/>
      <c r="IM89" s="288"/>
      <c r="IN89" s="288"/>
      <c r="IO89" s="288"/>
      <c r="IP89" s="288"/>
      <c r="IQ89" s="288"/>
      <c r="IR89" s="288"/>
      <c r="IS89" s="288"/>
    </row>
    <row r="90" spans="1:253" s="287" customFormat="1" ht="117" customHeight="1">
      <c r="A90" s="6">
        <v>31010000</v>
      </c>
      <c r="B90" s="298" t="s">
        <v>157</v>
      </c>
      <c r="C90" s="284">
        <f>D90+E90</f>
        <v>2000</v>
      </c>
      <c r="D90" s="291">
        <f>D91</f>
        <v>2000</v>
      </c>
      <c r="E90" s="291">
        <f>E91</f>
        <v>0</v>
      </c>
      <c r="F90" s="291">
        <f>F91</f>
        <v>0</v>
      </c>
      <c r="G90" s="288"/>
      <c r="H90" s="288"/>
      <c r="I90" s="288"/>
      <c r="J90" s="288"/>
      <c r="K90" s="288"/>
      <c r="L90" s="288"/>
      <c r="IK90" s="288"/>
      <c r="IL90" s="288"/>
      <c r="IM90" s="288"/>
      <c r="IN90" s="288"/>
      <c r="IO90" s="288"/>
      <c r="IP90" s="288"/>
      <c r="IQ90" s="288"/>
      <c r="IR90" s="288"/>
      <c r="IS90" s="288"/>
    </row>
    <row r="91" spans="1:253" s="287" customFormat="1" ht="100.5" customHeight="1">
      <c r="A91" s="6">
        <v>31010200</v>
      </c>
      <c r="B91" s="298" t="s">
        <v>156</v>
      </c>
      <c r="C91" s="284">
        <f>D91+E91</f>
        <v>2000</v>
      </c>
      <c r="D91" s="291">
        <v>2000</v>
      </c>
      <c r="E91" s="291"/>
      <c r="F91" s="291"/>
      <c r="G91" s="288"/>
      <c r="H91" s="288"/>
      <c r="I91" s="288"/>
      <c r="J91" s="288"/>
      <c r="K91" s="288"/>
      <c r="L91" s="288"/>
      <c r="IK91" s="288"/>
      <c r="IL91" s="288"/>
      <c r="IM91" s="288"/>
      <c r="IN91" s="288"/>
      <c r="IO91" s="288"/>
      <c r="IP91" s="288"/>
      <c r="IQ91" s="288"/>
      <c r="IR91" s="288"/>
      <c r="IS91" s="288"/>
    </row>
    <row r="92" spans="1:253" s="287" customFormat="1" ht="57" customHeight="1">
      <c r="A92" s="6">
        <v>31020000</v>
      </c>
      <c r="B92" s="298" t="s">
        <v>155</v>
      </c>
      <c r="C92" s="284">
        <f>D92+E92</f>
        <v>1944</v>
      </c>
      <c r="D92" s="291">
        <v>1944</v>
      </c>
      <c r="E92" s="291"/>
      <c r="F92" s="291"/>
      <c r="G92" s="288"/>
      <c r="H92" s="288"/>
      <c r="I92" s="288"/>
      <c r="J92" s="288"/>
      <c r="K92" s="288"/>
      <c r="L92" s="288"/>
      <c r="IK92" s="288"/>
      <c r="IL92" s="288"/>
      <c r="IM92" s="288"/>
      <c r="IN92" s="288"/>
      <c r="IO92" s="288"/>
      <c r="IP92" s="288"/>
      <c r="IQ92" s="288"/>
      <c r="IR92" s="288"/>
      <c r="IS92" s="288"/>
    </row>
    <row r="93" spans="1:253" s="287" customFormat="1" ht="66.75" customHeight="1">
      <c r="A93" s="6">
        <v>31030000</v>
      </c>
      <c r="B93" s="298" t="s">
        <v>154</v>
      </c>
      <c r="C93" s="284">
        <f>D93+E93</f>
        <v>325684</v>
      </c>
      <c r="D93" s="291"/>
      <c r="E93" s="291">
        <f>F93</f>
        <v>325684</v>
      </c>
      <c r="F93" s="291">
        <v>325684</v>
      </c>
      <c r="G93" s="288"/>
      <c r="H93" s="288"/>
      <c r="I93" s="288"/>
      <c r="J93" s="288"/>
      <c r="K93" s="288"/>
      <c r="L93" s="288"/>
      <c r="IK93" s="288"/>
      <c r="IL93" s="288"/>
      <c r="IM93" s="288"/>
      <c r="IN93" s="288"/>
      <c r="IO93" s="288"/>
      <c r="IP93" s="288"/>
      <c r="IQ93" s="288"/>
      <c r="IR93" s="288"/>
      <c r="IS93" s="288"/>
    </row>
    <row r="94" spans="1:253" s="287" customFormat="1" ht="37.5" customHeight="1">
      <c r="A94" s="6">
        <v>33000000</v>
      </c>
      <c r="B94" s="298" t="s">
        <v>153</v>
      </c>
      <c r="C94" s="284">
        <f>C95</f>
        <v>3894407</v>
      </c>
      <c r="D94" s="294">
        <f>D95</f>
        <v>0</v>
      </c>
      <c r="E94" s="291">
        <f>F94</f>
        <v>3894407</v>
      </c>
      <c r="F94" s="294">
        <f>F95</f>
        <v>3894407</v>
      </c>
      <c r="G94" s="288"/>
      <c r="H94" s="288"/>
      <c r="I94" s="288"/>
      <c r="J94" s="288"/>
      <c r="K94" s="288"/>
      <c r="L94" s="288"/>
      <c r="IK94" s="288"/>
      <c r="IL94" s="288"/>
      <c r="IM94" s="288"/>
      <c r="IN94" s="288"/>
      <c r="IO94" s="288"/>
      <c r="IP94" s="288"/>
      <c r="IQ94" s="288"/>
      <c r="IR94" s="288"/>
      <c r="IS94" s="288"/>
    </row>
    <row r="95" spans="1:253" s="287" customFormat="1" ht="18.75" customHeight="1">
      <c r="A95" s="6">
        <v>33010000</v>
      </c>
      <c r="B95" s="298" t="s">
        <v>152</v>
      </c>
      <c r="C95" s="284">
        <f>D95+E95</f>
        <v>3894407</v>
      </c>
      <c r="D95" s="291"/>
      <c r="E95" s="291">
        <f>F95</f>
        <v>3894407</v>
      </c>
      <c r="F95" s="291">
        <f>2000000+1157781+299720+186906+250000</f>
        <v>3894407</v>
      </c>
      <c r="G95" s="288"/>
      <c r="H95" s="288"/>
      <c r="I95" s="288"/>
      <c r="J95" s="288"/>
      <c r="K95" s="288"/>
      <c r="L95" s="288"/>
      <c r="IK95" s="288"/>
      <c r="IL95" s="288"/>
      <c r="IM95" s="288"/>
      <c r="IN95" s="288"/>
      <c r="IO95" s="288"/>
      <c r="IP95" s="288"/>
      <c r="IQ95" s="288"/>
      <c r="IR95" s="288"/>
      <c r="IS95" s="288"/>
    </row>
    <row r="96" spans="1:253" s="287" customFormat="1" ht="101.25" customHeight="1">
      <c r="A96" s="6">
        <v>33010100</v>
      </c>
      <c r="B96" s="298" t="s">
        <v>151</v>
      </c>
      <c r="C96" s="284">
        <f>D96+E96</f>
        <v>3894407</v>
      </c>
      <c r="D96" s="291"/>
      <c r="E96" s="291">
        <f>F96</f>
        <v>3894407</v>
      </c>
      <c r="F96" s="291">
        <f>2000000+1157781+299720+186906+250000</f>
        <v>3894407</v>
      </c>
      <c r="G96" s="288"/>
      <c r="H96" s="288"/>
      <c r="I96" s="288"/>
      <c r="J96" s="288"/>
      <c r="K96" s="288"/>
      <c r="L96" s="288"/>
      <c r="IK96" s="288"/>
      <c r="IL96" s="288"/>
      <c r="IM96" s="288"/>
      <c r="IN96" s="288"/>
      <c r="IO96" s="288"/>
      <c r="IP96" s="288"/>
      <c r="IQ96" s="288"/>
      <c r="IR96" s="288"/>
      <c r="IS96" s="288"/>
    </row>
    <row r="97" spans="1:253" s="287" customFormat="1" ht="33.75" customHeight="1">
      <c r="A97" s="6"/>
      <c r="B97" s="300" t="s">
        <v>150</v>
      </c>
      <c r="C97" s="284">
        <f>C10+C54+C88</f>
        <v>313025868</v>
      </c>
      <c r="D97" s="284">
        <f>D10+D54+D88</f>
        <v>298044584</v>
      </c>
      <c r="E97" s="284">
        <f>E10+E54+E88</f>
        <v>14981284</v>
      </c>
      <c r="F97" s="284">
        <f>F10+F54+F88</f>
        <v>4420103</v>
      </c>
      <c r="G97" s="288"/>
      <c r="H97" s="288"/>
      <c r="I97" s="288"/>
      <c r="J97" s="288"/>
      <c r="K97" s="288"/>
      <c r="L97" s="288"/>
      <c r="IK97" s="288"/>
      <c r="IL97" s="288"/>
      <c r="IM97" s="288"/>
      <c r="IN97" s="288"/>
      <c r="IO97" s="288"/>
      <c r="IP97" s="288"/>
      <c r="IQ97" s="288"/>
      <c r="IR97" s="288"/>
      <c r="IS97" s="288"/>
    </row>
    <row r="98" spans="1:253" s="3" customFormat="1" ht="15.75">
      <c r="A98" s="286">
        <v>40000000</v>
      </c>
      <c r="B98" s="299" t="s">
        <v>149</v>
      </c>
      <c r="C98" s="284">
        <f>C99</f>
        <v>288355062</v>
      </c>
      <c r="D98" s="284">
        <f>D99</f>
        <v>288355062</v>
      </c>
      <c r="E98" s="294">
        <f>E99</f>
        <v>0</v>
      </c>
      <c r="F98" s="294">
        <f>F99</f>
        <v>0</v>
      </c>
      <c r="G98" s="279"/>
      <c r="H98" s="279"/>
      <c r="I98" s="279"/>
      <c r="J98" s="279"/>
      <c r="K98" s="279"/>
      <c r="L98" s="279"/>
      <c r="IK98" s="279"/>
      <c r="IL98" s="279"/>
      <c r="IM98" s="279"/>
      <c r="IN98" s="279"/>
      <c r="IO98" s="279"/>
      <c r="IP98" s="279"/>
      <c r="IQ98" s="279"/>
      <c r="IR98" s="279"/>
      <c r="IS98" s="279"/>
    </row>
    <row r="99" spans="1:253" s="287" customFormat="1" ht="23.25" customHeight="1">
      <c r="A99" s="6">
        <v>41000000</v>
      </c>
      <c r="B99" s="298" t="s">
        <v>148</v>
      </c>
      <c r="C99" s="284">
        <f aca="true" t="shared" si="3" ref="C99:C106">D99+E99</f>
        <v>288355062</v>
      </c>
      <c r="D99" s="294">
        <f>D100+D102+D107+D109</f>
        <v>288355062</v>
      </c>
      <c r="E99" s="294">
        <f>E100+E102</f>
        <v>0</v>
      </c>
      <c r="F99" s="294">
        <f>F100+F102</f>
        <v>0</v>
      </c>
      <c r="G99" s="288"/>
      <c r="H99" s="288"/>
      <c r="I99" s="288"/>
      <c r="J99" s="288"/>
      <c r="K99" s="288"/>
      <c r="L99" s="288"/>
      <c r="IK99" s="288"/>
      <c r="IL99" s="288"/>
      <c r="IM99" s="288"/>
      <c r="IN99" s="288"/>
      <c r="IO99" s="288"/>
      <c r="IP99" s="288"/>
      <c r="IQ99" s="288"/>
      <c r="IR99" s="288"/>
      <c r="IS99" s="288"/>
    </row>
    <row r="100" spans="1:253" s="287" customFormat="1" ht="38.25" customHeight="1">
      <c r="A100" s="6">
        <v>41020000</v>
      </c>
      <c r="B100" s="298" t="s">
        <v>147</v>
      </c>
      <c r="C100" s="284">
        <f t="shared" si="3"/>
        <v>10108200</v>
      </c>
      <c r="D100" s="294">
        <f>D101</f>
        <v>10108200</v>
      </c>
      <c r="E100" s="294"/>
      <c r="F100" s="294"/>
      <c r="G100" s="288"/>
      <c r="H100" s="288"/>
      <c r="I100" s="288"/>
      <c r="J100" s="288"/>
      <c r="K100" s="288"/>
      <c r="L100" s="288"/>
      <c r="IK100" s="288"/>
      <c r="IL100" s="288"/>
      <c r="IM100" s="288"/>
      <c r="IN100" s="288"/>
      <c r="IO100" s="288"/>
      <c r="IP100" s="288"/>
      <c r="IQ100" s="288"/>
      <c r="IR100" s="288"/>
      <c r="IS100" s="288"/>
    </row>
    <row r="101" spans="1:253" s="287" customFormat="1" ht="15.75">
      <c r="A101" s="6">
        <v>41020100</v>
      </c>
      <c r="B101" s="298" t="s">
        <v>146</v>
      </c>
      <c r="C101" s="284">
        <f t="shared" si="3"/>
        <v>10108200</v>
      </c>
      <c r="D101" s="294">
        <v>10108200</v>
      </c>
      <c r="E101" s="294"/>
      <c r="F101" s="294"/>
      <c r="G101" s="288"/>
      <c r="H101" s="288"/>
      <c r="I101" s="288"/>
      <c r="J101" s="288"/>
      <c r="K101" s="288"/>
      <c r="L101" s="288"/>
      <c r="IK101" s="288"/>
      <c r="IL101" s="288"/>
      <c r="IM101" s="288"/>
      <c r="IN101" s="288"/>
      <c r="IO101" s="288"/>
      <c r="IP101" s="288"/>
      <c r="IQ101" s="288"/>
      <c r="IR101" s="288"/>
      <c r="IS101" s="288"/>
    </row>
    <row r="102" spans="1:253" s="287" customFormat="1" ht="31.5">
      <c r="A102" s="6">
        <v>41030000</v>
      </c>
      <c r="B102" s="298" t="s">
        <v>145</v>
      </c>
      <c r="C102" s="284">
        <f t="shared" si="3"/>
        <v>132253500</v>
      </c>
      <c r="D102" s="294">
        <f>D105+D104+D103+D106</f>
        <v>132253500</v>
      </c>
      <c r="E102" s="294">
        <f>E105+E104</f>
        <v>0</v>
      </c>
      <c r="F102" s="294">
        <f>F105+F104</f>
        <v>0</v>
      </c>
      <c r="G102" s="288"/>
      <c r="H102" s="296"/>
      <c r="I102" s="290"/>
      <c r="J102" s="290"/>
      <c r="K102" s="290"/>
      <c r="L102" s="290"/>
      <c r="M102" s="289"/>
      <c r="N102" s="289"/>
      <c r="IK102" s="288"/>
      <c r="IL102" s="288"/>
      <c r="IM102" s="288"/>
      <c r="IN102" s="288"/>
      <c r="IO102" s="288"/>
      <c r="IP102" s="288"/>
      <c r="IQ102" s="288"/>
      <c r="IR102" s="288"/>
      <c r="IS102" s="288"/>
    </row>
    <row r="103" spans="1:253" s="287" customFormat="1" ht="72" customHeight="1">
      <c r="A103" s="6">
        <v>41033200</v>
      </c>
      <c r="B103" s="298" t="s">
        <v>316</v>
      </c>
      <c r="C103" s="284">
        <f t="shared" si="3"/>
        <v>1186100</v>
      </c>
      <c r="D103" s="294">
        <v>1186100</v>
      </c>
      <c r="E103" s="294"/>
      <c r="F103" s="294"/>
      <c r="G103" s="288"/>
      <c r="H103" s="296"/>
      <c r="I103" s="290"/>
      <c r="J103" s="290"/>
      <c r="K103" s="290"/>
      <c r="L103" s="290"/>
      <c r="M103" s="289"/>
      <c r="N103" s="289"/>
      <c r="IK103" s="288"/>
      <c r="IL103" s="288"/>
      <c r="IM103" s="288"/>
      <c r="IN103" s="288"/>
      <c r="IO103" s="288"/>
      <c r="IP103" s="288"/>
      <c r="IQ103" s="288"/>
      <c r="IR103" s="288"/>
      <c r="IS103" s="288"/>
    </row>
    <row r="104" spans="1:253" s="287" customFormat="1" ht="38.25" customHeight="1">
      <c r="A104" s="6">
        <v>41033900</v>
      </c>
      <c r="B104" s="295" t="s">
        <v>144</v>
      </c>
      <c r="C104" s="284">
        <f t="shared" si="3"/>
        <v>79244400</v>
      </c>
      <c r="D104" s="294">
        <v>79244400</v>
      </c>
      <c r="E104" s="294"/>
      <c r="F104" s="294"/>
      <c r="G104" s="288"/>
      <c r="H104" s="296"/>
      <c r="I104" s="290"/>
      <c r="J104" s="290"/>
      <c r="K104" s="290"/>
      <c r="L104" s="290"/>
      <c r="M104" s="289"/>
      <c r="N104" s="289"/>
      <c r="IK104" s="288"/>
      <c r="IL104" s="288"/>
      <c r="IM104" s="288"/>
      <c r="IN104" s="288"/>
      <c r="IO104" s="288"/>
      <c r="IP104" s="288"/>
      <c r="IQ104" s="288"/>
      <c r="IR104" s="288"/>
      <c r="IS104" s="288"/>
    </row>
    <row r="105" spans="1:253" s="287" customFormat="1" ht="31.5">
      <c r="A105" s="6">
        <v>41034200</v>
      </c>
      <c r="B105" s="295" t="s">
        <v>143</v>
      </c>
      <c r="C105" s="284">
        <f t="shared" si="3"/>
        <v>49518000</v>
      </c>
      <c r="D105" s="294">
        <v>49518000</v>
      </c>
      <c r="E105" s="294"/>
      <c r="F105" s="294"/>
      <c r="G105" s="288"/>
      <c r="H105" s="296"/>
      <c r="I105" s="290"/>
      <c r="J105" s="290"/>
      <c r="K105" s="290"/>
      <c r="L105" s="290"/>
      <c r="M105" s="289"/>
      <c r="N105" s="289"/>
      <c r="IK105" s="288"/>
      <c r="IL105" s="288"/>
      <c r="IM105" s="288"/>
      <c r="IN105" s="288"/>
      <c r="IO105" s="288"/>
      <c r="IP105" s="288"/>
      <c r="IQ105" s="288"/>
      <c r="IR105" s="288"/>
      <c r="IS105" s="288"/>
    </row>
    <row r="106" spans="1:253" s="287" customFormat="1" ht="63">
      <c r="A106" s="6">
        <v>41034500</v>
      </c>
      <c r="B106" s="295" t="s">
        <v>335</v>
      </c>
      <c r="C106" s="284">
        <f t="shared" si="3"/>
        <v>2305000</v>
      </c>
      <c r="D106" s="294">
        <v>2305000</v>
      </c>
      <c r="E106" s="294"/>
      <c r="F106" s="294"/>
      <c r="G106" s="288"/>
      <c r="H106" s="296"/>
      <c r="I106" s="290"/>
      <c r="J106" s="290"/>
      <c r="K106" s="290"/>
      <c r="L106" s="290"/>
      <c r="M106" s="289"/>
      <c r="N106" s="289"/>
      <c r="IK106" s="288"/>
      <c r="IL106" s="288"/>
      <c r="IM106" s="288"/>
      <c r="IN106" s="288"/>
      <c r="IO106" s="288"/>
      <c r="IP106" s="288"/>
      <c r="IQ106" s="288"/>
      <c r="IR106" s="288"/>
      <c r="IS106" s="288"/>
    </row>
    <row r="107" spans="1:253" s="287" customFormat="1" ht="38.25" customHeight="1">
      <c r="A107" s="6">
        <v>41040000</v>
      </c>
      <c r="B107" s="295" t="s">
        <v>142</v>
      </c>
      <c r="C107" s="284">
        <f>C108</f>
        <v>3448400</v>
      </c>
      <c r="D107" s="294">
        <f>D108</f>
        <v>3448400</v>
      </c>
      <c r="E107" s="294"/>
      <c r="F107" s="294"/>
      <c r="G107" s="288"/>
      <c r="H107" s="296"/>
      <c r="I107" s="290"/>
      <c r="J107" s="290"/>
      <c r="K107" s="290"/>
      <c r="L107" s="290"/>
      <c r="M107" s="289"/>
      <c r="N107" s="289"/>
      <c r="IK107" s="288"/>
      <c r="IL107" s="288"/>
      <c r="IM107" s="288"/>
      <c r="IN107" s="288"/>
      <c r="IO107" s="288"/>
      <c r="IP107" s="288"/>
      <c r="IQ107" s="288"/>
      <c r="IR107" s="288"/>
      <c r="IS107" s="288"/>
    </row>
    <row r="108" spans="1:253" s="287" customFormat="1" ht="104.25" customHeight="1">
      <c r="A108" s="6">
        <v>41040200</v>
      </c>
      <c r="B108" s="295" t="s">
        <v>141</v>
      </c>
      <c r="C108" s="284">
        <f>D108</f>
        <v>3448400</v>
      </c>
      <c r="D108" s="294">
        <v>3448400</v>
      </c>
      <c r="E108" s="294"/>
      <c r="F108" s="294"/>
      <c r="G108" s="288"/>
      <c r="H108" s="296"/>
      <c r="I108" s="296"/>
      <c r="J108" s="290"/>
      <c r="K108" s="290"/>
      <c r="L108" s="290"/>
      <c r="M108" s="289"/>
      <c r="N108" s="289"/>
      <c r="IK108" s="288"/>
      <c r="IL108" s="288"/>
      <c r="IM108" s="288"/>
      <c r="IN108" s="288"/>
      <c r="IO108" s="288"/>
      <c r="IP108" s="288"/>
      <c r="IQ108" s="288"/>
      <c r="IR108" s="288"/>
      <c r="IS108" s="288"/>
    </row>
    <row r="109" spans="1:253" s="287" customFormat="1" ht="37.5" customHeight="1">
      <c r="A109" s="6">
        <v>41050000</v>
      </c>
      <c r="B109" s="295" t="s">
        <v>140</v>
      </c>
      <c r="C109" s="284">
        <f aca="true" t="shared" si="4" ref="C109:C124">D109+E109</f>
        <v>142544962</v>
      </c>
      <c r="D109" s="294">
        <f>D110+D111+D112+D113+D114+D116+D118+D119+D120+D115+D117+D123</f>
        <v>142544962</v>
      </c>
      <c r="E109" s="294">
        <f>E111+E110+E112+E113+E120</f>
        <v>0</v>
      </c>
      <c r="F109" s="294">
        <f>F111+F110+F112+F113+F120</f>
        <v>0</v>
      </c>
      <c r="G109" s="288"/>
      <c r="H109" s="296"/>
      <c r="I109" s="296"/>
      <c r="J109" s="290"/>
      <c r="K109" s="325"/>
      <c r="L109" s="290"/>
      <c r="M109" s="426">
        <f>I109-K109</f>
        <v>0</v>
      </c>
      <c r="N109" s="289"/>
      <c r="IK109" s="288"/>
      <c r="IL109" s="288"/>
      <c r="IM109" s="288"/>
      <c r="IN109" s="288"/>
      <c r="IO109" s="288"/>
      <c r="IP109" s="288"/>
      <c r="IQ109" s="288"/>
      <c r="IR109" s="288"/>
      <c r="IS109" s="288"/>
    </row>
    <row r="110" spans="1:253" s="287" customFormat="1" ht="321.75" customHeight="1">
      <c r="A110" s="6">
        <v>41050100</v>
      </c>
      <c r="B110" s="298" t="s">
        <v>139</v>
      </c>
      <c r="C110" s="284">
        <f t="shared" si="4"/>
        <v>28407239</v>
      </c>
      <c r="D110" s="294">
        <f>63379700-34972461</f>
        <v>28407239</v>
      </c>
      <c r="E110" s="294"/>
      <c r="F110" s="294"/>
      <c r="G110" s="288"/>
      <c r="H110" s="296"/>
      <c r="I110" s="290"/>
      <c r="J110" s="290"/>
      <c r="K110" s="290"/>
      <c r="L110" s="290"/>
      <c r="M110" s="289"/>
      <c r="N110" s="289"/>
      <c r="IK110" s="288"/>
      <c r="IL110" s="288"/>
      <c r="IM110" s="288"/>
      <c r="IN110" s="288"/>
      <c r="IO110" s="288"/>
      <c r="IP110" s="288"/>
      <c r="IQ110" s="288"/>
      <c r="IR110" s="288"/>
      <c r="IS110" s="288"/>
    </row>
    <row r="111" spans="1:253" s="287" customFormat="1" ht="100.5" customHeight="1">
      <c r="A111" s="6">
        <v>41050200</v>
      </c>
      <c r="B111" s="295" t="s">
        <v>138</v>
      </c>
      <c r="C111" s="284">
        <f t="shared" si="4"/>
        <v>1407100</v>
      </c>
      <c r="D111" s="294">
        <v>1407100</v>
      </c>
      <c r="E111" s="294"/>
      <c r="F111" s="294"/>
      <c r="G111" s="288"/>
      <c r="H111" s="296"/>
      <c r="I111" s="290"/>
      <c r="J111" s="290"/>
      <c r="K111" s="290"/>
      <c r="L111" s="290"/>
      <c r="M111" s="289"/>
      <c r="N111" s="289"/>
      <c r="IK111" s="288"/>
      <c r="IL111" s="288"/>
      <c r="IM111" s="288"/>
      <c r="IN111" s="288"/>
      <c r="IO111" s="288"/>
      <c r="IP111" s="288"/>
      <c r="IQ111" s="288"/>
      <c r="IR111" s="288"/>
      <c r="IS111" s="288"/>
    </row>
    <row r="112" spans="1:253" s="287" customFormat="1" ht="309.75" customHeight="1">
      <c r="A112" s="6">
        <v>41050300</v>
      </c>
      <c r="B112" s="298" t="s">
        <v>137</v>
      </c>
      <c r="C112" s="284">
        <f t="shared" si="4"/>
        <v>105770800</v>
      </c>
      <c r="D112" s="294">
        <v>105770800</v>
      </c>
      <c r="E112" s="294"/>
      <c r="F112" s="294"/>
      <c r="G112" s="288"/>
      <c r="H112" s="296"/>
      <c r="I112" s="290"/>
      <c r="J112" s="290"/>
      <c r="K112" s="290"/>
      <c r="L112" s="290"/>
      <c r="M112" s="289"/>
      <c r="N112" s="289"/>
      <c r="IK112" s="288"/>
      <c r="IL112" s="288"/>
      <c r="IM112" s="288"/>
      <c r="IN112" s="288"/>
      <c r="IO112" s="288"/>
      <c r="IP112" s="288"/>
      <c r="IQ112" s="288"/>
      <c r="IR112" s="288"/>
      <c r="IS112" s="288"/>
    </row>
    <row r="113" spans="1:253" s="287" customFormat="1" ht="262.5" customHeight="1">
      <c r="A113" s="6">
        <v>41050700</v>
      </c>
      <c r="B113" s="297" t="s">
        <v>136</v>
      </c>
      <c r="C113" s="284">
        <f t="shared" si="4"/>
        <v>568700</v>
      </c>
      <c r="D113" s="294">
        <f>518700+50000</f>
        <v>568700</v>
      </c>
      <c r="E113" s="294"/>
      <c r="F113" s="294"/>
      <c r="G113" s="288"/>
      <c r="H113" s="296"/>
      <c r="I113" s="290"/>
      <c r="J113" s="290"/>
      <c r="K113" s="290"/>
      <c r="L113" s="290"/>
      <c r="M113" s="289"/>
      <c r="N113" s="289"/>
      <c r="IK113" s="288"/>
      <c r="IL113" s="288"/>
      <c r="IM113" s="288"/>
      <c r="IN113" s="288"/>
      <c r="IO113" s="288"/>
      <c r="IP113" s="288"/>
      <c r="IQ113" s="288"/>
      <c r="IR113" s="288"/>
      <c r="IS113" s="288"/>
    </row>
    <row r="114" spans="1:253" s="287" customFormat="1" ht="68.25" customHeight="1">
      <c r="A114" s="6">
        <v>41051000</v>
      </c>
      <c r="B114" s="297" t="s">
        <v>135</v>
      </c>
      <c r="C114" s="284">
        <f t="shared" si="4"/>
        <v>761066</v>
      </c>
      <c r="D114" s="294">
        <v>761066</v>
      </c>
      <c r="E114" s="294"/>
      <c r="F114" s="294"/>
      <c r="G114" s="288"/>
      <c r="H114" s="296"/>
      <c r="I114" s="290"/>
      <c r="J114" s="290"/>
      <c r="K114" s="290"/>
      <c r="L114" s="290"/>
      <c r="M114" s="289"/>
      <c r="N114" s="289"/>
      <c r="IK114" s="288"/>
      <c r="IL114" s="288"/>
      <c r="IM114" s="288"/>
      <c r="IN114" s="288"/>
      <c r="IO114" s="288"/>
      <c r="IP114" s="288"/>
      <c r="IQ114" s="288"/>
      <c r="IR114" s="288"/>
      <c r="IS114" s="288"/>
    </row>
    <row r="115" spans="1:253" s="287" customFormat="1" ht="71.25" customHeight="1">
      <c r="A115" s="6">
        <v>41051100</v>
      </c>
      <c r="B115" s="297" t="s">
        <v>134</v>
      </c>
      <c r="C115" s="284">
        <f t="shared" si="4"/>
        <v>1190670</v>
      </c>
      <c r="D115" s="294">
        <v>1190670</v>
      </c>
      <c r="E115" s="294"/>
      <c r="F115" s="294"/>
      <c r="G115" s="288"/>
      <c r="H115" s="296"/>
      <c r="I115" s="290"/>
      <c r="J115" s="290"/>
      <c r="K115" s="290"/>
      <c r="L115" s="290"/>
      <c r="M115" s="289"/>
      <c r="N115" s="289"/>
      <c r="IK115" s="288"/>
      <c r="IL115" s="288"/>
      <c r="IM115" s="288"/>
      <c r="IN115" s="288"/>
      <c r="IO115" s="288"/>
      <c r="IP115" s="288"/>
      <c r="IQ115" s="288"/>
      <c r="IR115" s="288"/>
      <c r="IS115" s="288"/>
    </row>
    <row r="116" spans="1:253" s="287" customFormat="1" ht="85.5" customHeight="1">
      <c r="A116" s="6">
        <v>41051200</v>
      </c>
      <c r="B116" s="297" t="s">
        <v>133</v>
      </c>
      <c r="C116" s="284">
        <f t="shared" si="4"/>
        <v>211133</v>
      </c>
      <c r="D116" s="294">
        <v>211133</v>
      </c>
      <c r="E116" s="294"/>
      <c r="F116" s="294"/>
      <c r="G116" s="288"/>
      <c r="H116" s="296"/>
      <c r="I116" s="290"/>
      <c r="J116" s="290"/>
      <c r="K116" s="290"/>
      <c r="L116" s="290"/>
      <c r="M116" s="289"/>
      <c r="N116" s="289"/>
      <c r="IK116" s="288"/>
      <c r="IL116" s="288"/>
      <c r="IM116" s="288"/>
      <c r="IN116" s="288"/>
      <c r="IO116" s="288"/>
      <c r="IP116" s="288"/>
      <c r="IQ116" s="288"/>
      <c r="IR116" s="288"/>
      <c r="IS116" s="288"/>
    </row>
    <row r="117" spans="1:253" s="287" customFormat="1" ht="96.75" customHeight="1">
      <c r="A117" s="6">
        <v>41051400</v>
      </c>
      <c r="B117" s="297" t="s">
        <v>245</v>
      </c>
      <c r="C117" s="284">
        <f t="shared" si="4"/>
        <v>1301392</v>
      </c>
      <c r="D117" s="294">
        <f>1300424+968</f>
        <v>1301392</v>
      </c>
      <c r="E117" s="294"/>
      <c r="F117" s="294"/>
      <c r="G117" s="288"/>
      <c r="H117" s="296"/>
      <c r="I117" s="290"/>
      <c r="J117" s="290"/>
      <c r="K117" s="290"/>
      <c r="L117" s="290"/>
      <c r="M117" s="289"/>
      <c r="N117" s="289"/>
      <c r="IK117" s="288"/>
      <c r="IL117" s="288"/>
      <c r="IM117" s="288"/>
      <c r="IN117" s="288"/>
      <c r="IO117" s="288"/>
      <c r="IP117" s="288"/>
      <c r="IQ117" s="288"/>
      <c r="IR117" s="288"/>
      <c r="IS117" s="288"/>
    </row>
    <row r="118" spans="1:253" s="287" customFormat="1" ht="66" customHeight="1">
      <c r="A118" s="6">
        <v>41051500</v>
      </c>
      <c r="B118" s="297" t="s">
        <v>132</v>
      </c>
      <c r="C118" s="284">
        <f t="shared" si="4"/>
        <v>98700</v>
      </c>
      <c r="D118" s="294">
        <v>98700</v>
      </c>
      <c r="E118" s="294"/>
      <c r="F118" s="294"/>
      <c r="G118" s="288"/>
      <c r="H118" s="296"/>
      <c r="I118" s="290"/>
      <c r="J118" s="290"/>
      <c r="K118" s="290"/>
      <c r="L118" s="290"/>
      <c r="M118" s="289"/>
      <c r="N118" s="289"/>
      <c r="IK118" s="288"/>
      <c r="IL118" s="288"/>
      <c r="IM118" s="288"/>
      <c r="IN118" s="288"/>
      <c r="IO118" s="288"/>
      <c r="IP118" s="288"/>
      <c r="IQ118" s="288"/>
      <c r="IR118" s="288"/>
      <c r="IS118" s="288"/>
    </row>
    <row r="119" spans="1:253" s="287" customFormat="1" ht="84.75" customHeight="1">
      <c r="A119" s="6">
        <v>41052000</v>
      </c>
      <c r="B119" s="295" t="s">
        <v>131</v>
      </c>
      <c r="C119" s="284">
        <f t="shared" si="4"/>
        <v>459900</v>
      </c>
      <c r="D119" s="294">
        <v>459900</v>
      </c>
      <c r="E119" s="294"/>
      <c r="F119" s="294"/>
      <c r="G119" s="288"/>
      <c r="H119" s="296"/>
      <c r="I119" s="290"/>
      <c r="J119" s="290"/>
      <c r="K119" s="290"/>
      <c r="L119" s="290"/>
      <c r="M119" s="289"/>
      <c r="N119" s="289"/>
      <c r="IK119" s="288"/>
      <c r="IL119" s="288"/>
      <c r="IM119" s="288"/>
      <c r="IN119" s="288"/>
      <c r="IO119" s="288"/>
      <c r="IP119" s="288"/>
      <c r="IQ119" s="288"/>
      <c r="IR119" s="288"/>
      <c r="IS119" s="288"/>
    </row>
    <row r="120" spans="1:253" s="287" customFormat="1" ht="22.5" customHeight="1">
      <c r="A120" s="6">
        <v>41053900</v>
      </c>
      <c r="B120" s="295" t="s">
        <v>130</v>
      </c>
      <c r="C120" s="284">
        <f t="shared" si="4"/>
        <v>1577668</v>
      </c>
      <c r="D120" s="294">
        <f>D121+D122+245000</f>
        <v>1577668</v>
      </c>
      <c r="E120" s="291"/>
      <c r="F120" s="291"/>
      <c r="G120" s="288"/>
      <c r="H120" s="275"/>
      <c r="I120" s="275"/>
      <c r="J120" s="290"/>
      <c r="K120" s="290"/>
      <c r="L120" s="290"/>
      <c r="M120" s="289"/>
      <c r="N120" s="289"/>
      <c r="IK120" s="288"/>
      <c r="IL120" s="288"/>
      <c r="IM120" s="288"/>
      <c r="IN120" s="288"/>
      <c r="IO120" s="288"/>
      <c r="IP120" s="288"/>
      <c r="IQ120" s="288"/>
      <c r="IR120" s="288"/>
      <c r="IS120" s="288"/>
    </row>
    <row r="121" spans="1:253" s="287" customFormat="1" ht="126" customHeight="1" hidden="1">
      <c r="A121" s="6"/>
      <c r="B121" s="293" t="s">
        <v>129</v>
      </c>
      <c r="C121" s="284">
        <f t="shared" si="4"/>
        <v>132668</v>
      </c>
      <c r="D121" s="292">
        <v>132668</v>
      </c>
      <c r="E121" s="291"/>
      <c r="F121" s="291"/>
      <c r="G121" s="288"/>
      <c r="H121" s="275"/>
      <c r="I121" s="275"/>
      <c r="J121" s="290"/>
      <c r="K121" s="290"/>
      <c r="L121" s="290"/>
      <c r="M121" s="289"/>
      <c r="N121" s="289"/>
      <c r="IK121" s="288"/>
      <c r="IL121" s="288"/>
      <c r="IM121" s="288"/>
      <c r="IN121" s="288"/>
      <c r="IO121" s="288"/>
      <c r="IP121" s="288"/>
      <c r="IQ121" s="288"/>
      <c r="IR121" s="288"/>
      <c r="IS121" s="288"/>
    </row>
    <row r="122" spans="1:253" s="287" customFormat="1" ht="78.75" customHeight="1" hidden="1">
      <c r="A122" s="6"/>
      <c r="B122" s="293" t="s">
        <v>128</v>
      </c>
      <c r="C122" s="284">
        <f t="shared" si="4"/>
        <v>1200000</v>
      </c>
      <c r="D122" s="292">
        <v>1200000</v>
      </c>
      <c r="E122" s="291"/>
      <c r="F122" s="291"/>
      <c r="G122" s="288"/>
      <c r="H122" s="275"/>
      <c r="I122" s="275"/>
      <c r="J122" s="290"/>
      <c r="K122" s="290"/>
      <c r="L122" s="290"/>
      <c r="M122" s="289"/>
      <c r="N122" s="289"/>
      <c r="IK122" s="288"/>
      <c r="IL122" s="288"/>
      <c r="IM122" s="288"/>
      <c r="IN122" s="288"/>
      <c r="IO122" s="288"/>
      <c r="IP122" s="288"/>
      <c r="IQ122" s="288"/>
      <c r="IR122" s="288"/>
      <c r="IS122" s="288"/>
    </row>
    <row r="123" spans="1:253" s="287" customFormat="1" ht="78.75" customHeight="1">
      <c r="A123" s="6">
        <v>41054300</v>
      </c>
      <c r="B123" s="295" t="s">
        <v>322</v>
      </c>
      <c r="C123" s="284">
        <f t="shared" si="4"/>
        <v>790594</v>
      </c>
      <c r="D123" s="291">
        <v>790594</v>
      </c>
      <c r="E123" s="291"/>
      <c r="F123" s="291"/>
      <c r="G123" s="288"/>
      <c r="H123" s="275"/>
      <c r="I123" s="275"/>
      <c r="J123" s="290"/>
      <c r="K123" s="290"/>
      <c r="L123" s="290"/>
      <c r="M123" s="289"/>
      <c r="N123" s="289"/>
      <c r="IK123" s="288"/>
      <c r="IL123" s="288"/>
      <c r="IM123" s="288"/>
      <c r="IN123" s="288"/>
      <c r="IO123" s="288"/>
      <c r="IP123" s="288"/>
      <c r="IQ123" s="288"/>
      <c r="IR123" s="288"/>
      <c r="IS123" s="288"/>
    </row>
    <row r="124" spans="1:253" s="3" customFormat="1" ht="18" customHeight="1">
      <c r="A124" s="286" t="s">
        <v>357</v>
      </c>
      <c r="B124" s="285" t="s">
        <v>127</v>
      </c>
      <c r="C124" s="284">
        <f t="shared" si="4"/>
        <v>601380930</v>
      </c>
      <c r="D124" s="284">
        <f>D97+D98</f>
        <v>586399646</v>
      </c>
      <c r="E124" s="284">
        <f>E97+E98</f>
        <v>14981284</v>
      </c>
      <c r="F124" s="284">
        <f>F97+F98</f>
        <v>4420103</v>
      </c>
      <c r="G124" s="283"/>
      <c r="H124" s="282"/>
      <c r="I124" s="275"/>
      <c r="J124" s="281"/>
      <c r="K124" s="281"/>
      <c r="L124" s="281"/>
      <c r="M124" s="280"/>
      <c r="N124" s="280"/>
      <c r="IK124" s="279"/>
      <c r="IL124" s="279"/>
      <c r="IM124" s="279"/>
      <c r="IN124" s="279"/>
      <c r="IO124" s="279"/>
      <c r="IP124" s="279"/>
      <c r="IQ124" s="279"/>
      <c r="IR124" s="279"/>
      <c r="IS124" s="279"/>
    </row>
    <row r="125" spans="1:253" s="3" customFormat="1" ht="18" customHeight="1">
      <c r="A125" s="388"/>
      <c r="B125" s="237"/>
      <c r="C125" s="389"/>
      <c r="D125" s="389"/>
      <c r="E125" s="389"/>
      <c r="F125" s="389"/>
      <c r="G125" s="283"/>
      <c r="H125" s="282"/>
      <c r="I125" s="275"/>
      <c r="J125" s="281"/>
      <c r="K125" s="281"/>
      <c r="L125" s="281"/>
      <c r="M125" s="280"/>
      <c r="N125" s="280"/>
      <c r="IK125" s="279"/>
      <c r="IL125" s="279"/>
      <c r="IM125" s="279"/>
      <c r="IN125" s="279"/>
      <c r="IO125" s="279"/>
      <c r="IP125" s="279"/>
      <c r="IQ125" s="279"/>
      <c r="IR125" s="279"/>
      <c r="IS125" s="279"/>
    </row>
    <row r="126" spans="1:253" s="3" customFormat="1" ht="18" customHeight="1">
      <c r="A126" s="388"/>
      <c r="B126" s="237"/>
      <c r="C126" s="389"/>
      <c r="D126" s="389"/>
      <c r="E126" s="389"/>
      <c r="F126" s="389"/>
      <c r="G126" s="283"/>
      <c r="H126" s="282"/>
      <c r="I126" s="275"/>
      <c r="J126" s="281"/>
      <c r="K126" s="281"/>
      <c r="L126" s="281"/>
      <c r="M126" s="280"/>
      <c r="N126" s="280"/>
      <c r="IK126" s="279"/>
      <c r="IL126" s="279"/>
      <c r="IM126" s="279"/>
      <c r="IN126" s="279"/>
      <c r="IO126" s="279"/>
      <c r="IP126" s="279"/>
      <c r="IQ126" s="279"/>
      <c r="IR126" s="279"/>
      <c r="IS126" s="279"/>
    </row>
    <row r="127" spans="1:253" s="3" customFormat="1" ht="18" customHeight="1">
      <c r="A127" s="388"/>
      <c r="B127" s="237"/>
      <c r="C127" s="389"/>
      <c r="D127" s="389"/>
      <c r="E127" s="389"/>
      <c r="F127" s="389"/>
      <c r="G127" s="283"/>
      <c r="H127" s="282"/>
      <c r="I127" s="275"/>
      <c r="J127" s="281"/>
      <c r="K127" s="281"/>
      <c r="L127" s="281"/>
      <c r="M127" s="280"/>
      <c r="N127" s="280"/>
      <c r="IK127" s="279"/>
      <c r="IL127" s="279"/>
      <c r="IM127" s="279"/>
      <c r="IN127" s="279"/>
      <c r="IO127" s="279"/>
      <c r="IP127" s="279"/>
      <c r="IQ127" s="279"/>
      <c r="IR127" s="279"/>
      <c r="IS127" s="279"/>
    </row>
    <row r="128" spans="1:253" s="3" customFormat="1" ht="18" customHeight="1">
      <c r="A128" s="388"/>
      <c r="B128" s="237"/>
      <c r="C128" s="389"/>
      <c r="D128" s="389"/>
      <c r="E128" s="389"/>
      <c r="F128" s="389"/>
      <c r="G128" s="283"/>
      <c r="H128" s="282"/>
      <c r="I128" s="275"/>
      <c r="J128" s="281"/>
      <c r="K128" s="281"/>
      <c r="L128" s="281"/>
      <c r="M128" s="280"/>
      <c r="N128" s="280"/>
      <c r="IK128" s="279"/>
      <c r="IL128" s="279"/>
      <c r="IM128" s="279"/>
      <c r="IN128" s="279"/>
      <c r="IO128" s="279"/>
      <c r="IP128" s="279"/>
      <c r="IQ128" s="279"/>
      <c r="IR128" s="279"/>
      <c r="IS128" s="279"/>
    </row>
    <row r="129" spans="2:9" ht="15.75">
      <c r="B129" s="4" t="s">
        <v>41</v>
      </c>
      <c r="C129" s="277"/>
      <c r="E129" s="5" t="s">
        <v>126</v>
      </c>
      <c r="I129" s="275"/>
    </row>
    <row r="130" spans="3:9" ht="15">
      <c r="C130" s="277"/>
      <c r="I130" s="276"/>
    </row>
    <row r="131" spans="3:9" ht="15">
      <c r="C131" s="277"/>
      <c r="I131" s="276"/>
    </row>
    <row r="132" spans="3:9" ht="15">
      <c r="C132" s="277"/>
      <c r="I132" s="276"/>
    </row>
    <row r="133" spans="3:9" ht="15">
      <c r="C133" s="278"/>
      <c r="D133" s="7"/>
      <c r="I133" s="276"/>
    </row>
    <row r="134" spans="3:9" ht="15">
      <c r="C134" s="277"/>
      <c r="D134" s="7"/>
      <c r="I134" s="276"/>
    </row>
    <row r="135" spans="9:25" ht="15">
      <c r="I135" s="276"/>
      <c r="J135" s="274"/>
      <c r="K135" s="274"/>
      <c r="L135" s="274"/>
      <c r="M135" s="273"/>
      <c r="N135" s="273"/>
      <c r="O135" s="273"/>
      <c r="P135" s="273"/>
      <c r="Q135" s="273"/>
      <c r="R135" s="273"/>
      <c r="S135" s="273"/>
      <c r="T135" s="273"/>
      <c r="U135" s="273"/>
      <c r="V135" s="273"/>
      <c r="W135" s="273"/>
      <c r="X135" s="273"/>
      <c r="Y135" s="273"/>
    </row>
    <row r="136" spans="9:25" ht="12.75">
      <c r="I136" s="274"/>
      <c r="J136" s="274"/>
      <c r="K136" s="274"/>
      <c r="L136" s="274"/>
      <c r="M136" s="273"/>
      <c r="N136" s="273"/>
      <c r="O136" s="273"/>
      <c r="P136" s="273"/>
      <c r="Q136" s="273"/>
      <c r="R136" s="273"/>
      <c r="S136" s="273"/>
      <c r="T136" s="273"/>
      <c r="U136" s="273"/>
      <c r="V136" s="273"/>
      <c r="W136" s="273"/>
      <c r="X136" s="273"/>
      <c r="Y136" s="273"/>
    </row>
    <row r="137" spans="9:25" ht="15">
      <c r="I137" s="275"/>
      <c r="J137" s="274"/>
      <c r="K137" s="274"/>
      <c r="L137" s="274"/>
      <c r="M137" s="273"/>
      <c r="N137" s="273"/>
      <c r="O137" s="273"/>
      <c r="P137" s="273"/>
      <c r="Q137" s="273"/>
      <c r="R137" s="273"/>
      <c r="S137" s="273"/>
      <c r="T137" s="273"/>
      <c r="U137" s="273"/>
      <c r="V137" s="273"/>
      <c r="W137" s="273"/>
      <c r="X137" s="273"/>
      <c r="Y137" s="273"/>
    </row>
    <row r="138" spans="9:25" ht="15">
      <c r="I138" s="275"/>
      <c r="J138" s="274"/>
      <c r="K138" s="274"/>
      <c r="L138" s="274"/>
      <c r="M138" s="273"/>
      <c r="N138" s="273"/>
      <c r="O138" s="273"/>
      <c r="P138" s="273"/>
      <c r="Q138" s="273"/>
      <c r="R138" s="273"/>
      <c r="S138" s="273"/>
      <c r="T138" s="273"/>
      <c r="U138" s="273"/>
      <c r="V138" s="273"/>
      <c r="W138" s="273"/>
      <c r="X138" s="273"/>
      <c r="Y138" s="273"/>
    </row>
    <row r="139" spans="9:25" ht="15">
      <c r="I139" s="275"/>
      <c r="J139" s="274"/>
      <c r="K139" s="274"/>
      <c r="L139" s="274"/>
      <c r="M139" s="273"/>
      <c r="N139" s="273"/>
      <c r="O139" s="273"/>
      <c r="P139" s="273"/>
      <c r="Q139" s="273"/>
      <c r="R139" s="273"/>
      <c r="S139" s="273"/>
      <c r="T139" s="273"/>
      <c r="U139" s="273"/>
      <c r="V139" s="273"/>
      <c r="W139" s="273"/>
      <c r="X139" s="273"/>
      <c r="Y139" s="273"/>
    </row>
    <row r="140" spans="9:25" ht="15">
      <c r="I140" s="275"/>
      <c r="J140" s="274"/>
      <c r="K140" s="274"/>
      <c r="L140" s="274"/>
      <c r="M140" s="273"/>
      <c r="N140" s="273"/>
      <c r="O140" s="273"/>
      <c r="P140" s="273"/>
      <c r="Q140" s="273"/>
      <c r="R140" s="273"/>
      <c r="S140" s="273"/>
      <c r="T140" s="273"/>
      <c r="U140" s="273"/>
      <c r="V140" s="273"/>
      <c r="W140" s="273"/>
      <c r="X140" s="273"/>
      <c r="Y140" s="273"/>
    </row>
    <row r="141" spans="8:31" ht="12.75">
      <c r="H141" s="274"/>
      <c r="I141" s="274"/>
      <c r="J141" s="274"/>
      <c r="K141" s="274"/>
      <c r="L141" s="274"/>
      <c r="M141" s="273"/>
      <c r="N141" s="273"/>
      <c r="O141" s="273"/>
      <c r="P141" s="273"/>
      <c r="Q141" s="273"/>
      <c r="R141" s="273"/>
      <c r="S141" s="273"/>
      <c r="T141" s="273"/>
      <c r="U141" s="273"/>
      <c r="V141" s="273"/>
      <c r="W141" s="273"/>
      <c r="X141" s="273"/>
      <c r="Y141" s="273"/>
      <c r="Z141" s="273"/>
      <c r="AA141" s="273"/>
      <c r="AB141" s="273"/>
      <c r="AC141" s="273"/>
      <c r="AD141" s="273"/>
      <c r="AE141" s="273"/>
    </row>
    <row r="142" spans="8:31" ht="12.75">
      <c r="H142" s="274"/>
      <c r="I142" s="274"/>
      <c r="J142" s="274"/>
      <c r="K142" s="274"/>
      <c r="L142" s="274"/>
      <c r="M142" s="273"/>
      <c r="N142" s="273"/>
      <c r="O142" s="273"/>
      <c r="P142" s="273"/>
      <c r="Q142" s="273"/>
      <c r="R142" s="273"/>
      <c r="S142" s="273"/>
      <c r="T142" s="273"/>
      <c r="U142" s="273"/>
      <c r="V142" s="273"/>
      <c r="W142" s="273"/>
      <c r="X142" s="273"/>
      <c r="Y142" s="273"/>
      <c r="Z142" s="273"/>
      <c r="AA142" s="273"/>
      <c r="AB142" s="273"/>
      <c r="AC142" s="273"/>
      <c r="AD142" s="273"/>
      <c r="AE142" s="273"/>
    </row>
    <row r="143" spans="8:31" ht="15">
      <c r="H143" s="274"/>
      <c r="I143" s="275"/>
      <c r="J143" s="274"/>
      <c r="K143" s="274"/>
      <c r="L143" s="274"/>
      <c r="M143" s="273"/>
      <c r="N143" s="273"/>
      <c r="O143" s="273"/>
      <c r="P143" s="273"/>
      <c r="Q143" s="273"/>
      <c r="R143" s="273"/>
      <c r="S143" s="273"/>
      <c r="T143" s="273"/>
      <c r="U143" s="273"/>
      <c r="V143" s="273"/>
      <c r="W143" s="273"/>
      <c r="X143" s="273"/>
      <c r="Y143" s="273"/>
      <c r="Z143" s="273"/>
      <c r="AA143" s="273"/>
      <c r="AB143" s="273"/>
      <c r="AC143" s="273"/>
      <c r="AD143" s="273"/>
      <c r="AE143" s="273"/>
    </row>
    <row r="144" spans="8:31" ht="15">
      <c r="H144" s="274"/>
      <c r="I144" s="275"/>
      <c r="J144" s="274"/>
      <c r="K144" s="274"/>
      <c r="L144" s="274"/>
      <c r="M144" s="273"/>
      <c r="N144" s="273"/>
      <c r="O144" s="273"/>
      <c r="P144" s="273"/>
      <c r="Q144" s="273"/>
      <c r="R144" s="273"/>
      <c r="S144" s="273"/>
      <c r="T144" s="273"/>
      <c r="U144" s="273"/>
      <c r="V144" s="273"/>
      <c r="W144" s="273"/>
      <c r="X144" s="273"/>
      <c r="Y144" s="273"/>
      <c r="Z144" s="273"/>
      <c r="AA144" s="273"/>
      <c r="AB144" s="273"/>
      <c r="AC144" s="273"/>
      <c r="AD144" s="273"/>
      <c r="AE144" s="273"/>
    </row>
    <row r="145" spans="8:31" ht="15">
      <c r="H145" s="274"/>
      <c r="I145" s="275"/>
      <c r="J145" s="274"/>
      <c r="K145" s="274"/>
      <c r="L145" s="274"/>
      <c r="M145" s="273"/>
      <c r="N145" s="273"/>
      <c r="O145" s="273"/>
      <c r="P145" s="273"/>
      <c r="Q145" s="273"/>
      <c r="R145" s="273"/>
      <c r="S145" s="273"/>
      <c r="T145" s="273"/>
      <c r="U145" s="273"/>
      <c r="V145" s="273"/>
      <c r="W145" s="273"/>
      <c r="X145" s="273"/>
      <c r="Y145" s="273"/>
      <c r="Z145" s="273"/>
      <c r="AA145" s="273"/>
      <c r="AB145" s="273"/>
      <c r="AC145" s="273"/>
      <c r="AD145" s="273"/>
      <c r="AE145" s="273"/>
    </row>
    <row r="146" spans="8:31" ht="15">
      <c r="H146" s="274"/>
      <c r="I146" s="275"/>
      <c r="J146" s="274"/>
      <c r="K146" s="274"/>
      <c r="L146" s="274"/>
      <c r="M146" s="273"/>
      <c r="N146" s="273"/>
      <c r="O146" s="273"/>
      <c r="P146" s="273"/>
      <c r="Q146" s="273"/>
      <c r="R146" s="273"/>
      <c r="S146" s="273"/>
      <c r="T146" s="273"/>
      <c r="U146" s="273"/>
      <c r="V146" s="273"/>
      <c r="W146" s="273"/>
      <c r="X146" s="273"/>
      <c r="Y146" s="273"/>
      <c r="Z146" s="273"/>
      <c r="AA146" s="273"/>
      <c r="AB146" s="273"/>
      <c r="AC146" s="273"/>
      <c r="AD146" s="273"/>
      <c r="AE146" s="273"/>
    </row>
    <row r="147" spans="8:31" ht="15">
      <c r="H147" s="274"/>
      <c r="I147" s="275"/>
      <c r="J147" s="274"/>
      <c r="K147" s="274"/>
      <c r="L147" s="274"/>
      <c r="M147" s="273"/>
      <c r="N147" s="273"/>
      <c r="O147" s="273"/>
      <c r="P147" s="273"/>
      <c r="Q147" s="273"/>
      <c r="R147" s="273"/>
      <c r="S147" s="273"/>
      <c r="T147" s="273"/>
      <c r="U147" s="273"/>
      <c r="V147" s="273"/>
      <c r="W147" s="273"/>
      <c r="X147" s="273"/>
      <c r="Y147" s="273"/>
      <c r="Z147" s="273"/>
      <c r="AA147" s="273"/>
      <c r="AB147" s="273"/>
      <c r="AC147" s="273"/>
      <c r="AD147" s="273"/>
      <c r="AE147" s="273"/>
    </row>
    <row r="148" spans="8:31" ht="15">
      <c r="H148" s="274"/>
      <c r="I148" s="275"/>
      <c r="J148" s="274"/>
      <c r="K148" s="274"/>
      <c r="L148" s="274"/>
      <c r="M148" s="273"/>
      <c r="N148" s="273"/>
      <c r="O148" s="273"/>
      <c r="P148" s="273"/>
      <c r="Q148" s="273"/>
      <c r="R148" s="273"/>
      <c r="S148" s="273"/>
      <c r="T148" s="273"/>
      <c r="U148" s="273"/>
      <c r="V148" s="273"/>
      <c r="W148" s="273"/>
      <c r="X148" s="273"/>
      <c r="Y148" s="273"/>
      <c r="Z148" s="273"/>
      <c r="AA148" s="273"/>
      <c r="AB148" s="273"/>
      <c r="AC148" s="273"/>
      <c r="AD148" s="273"/>
      <c r="AE148" s="273"/>
    </row>
    <row r="149" spans="8:31" ht="15">
      <c r="H149" s="274"/>
      <c r="I149" s="275"/>
      <c r="J149" s="274"/>
      <c r="K149" s="274"/>
      <c r="L149" s="274"/>
      <c r="M149" s="273"/>
      <c r="N149" s="273"/>
      <c r="O149" s="273"/>
      <c r="P149" s="273"/>
      <c r="Q149" s="273"/>
      <c r="R149" s="273"/>
      <c r="S149" s="273"/>
      <c r="T149" s="273"/>
      <c r="U149" s="273"/>
      <c r="V149" s="273"/>
      <c r="W149" s="273"/>
      <c r="X149" s="273"/>
      <c r="Y149" s="273"/>
      <c r="Z149" s="273"/>
      <c r="AA149" s="273"/>
      <c r="AB149" s="273"/>
      <c r="AC149" s="273"/>
      <c r="AD149" s="273"/>
      <c r="AE149" s="273"/>
    </row>
    <row r="150" spans="8:31" ht="15">
      <c r="H150" s="274"/>
      <c r="I150" s="275"/>
      <c r="J150" s="274"/>
      <c r="K150" s="274"/>
      <c r="L150" s="274"/>
      <c r="M150" s="273"/>
      <c r="N150" s="273"/>
      <c r="O150" s="273"/>
      <c r="P150" s="273"/>
      <c r="Q150" s="273"/>
      <c r="R150" s="273"/>
      <c r="S150" s="273"/>
      <c r="T150" s="273"/>
      <c r="U150" s="273"/>
      <c r="V150" s="273"/>
      <c r="W150" s="273"/>
      <c r="X150" s="273"/>
      <c r="Y150" s="273"/>
      <c r="Z150" s="273"/>
      <c r="AA150" s="273"/>
      <c r="AB150" s="273"/>
      <c r="AC150" s="273"/>
      <c r="AD150" s="273"/>
      <c r="AE150" s="273"/>
    </row>
    <row r="151" spans="8:31" ht="12.75">
      <c r="H151" s="274"/>
      <c r="I151" s="274"/>
      <c r="J151" s="274"/>
      <c r="K151" s="274"/>
      <c r="L151" s="274"/>
      <c r="M151" s="273"/>
      <c r="N151" s="273"/>
      <c r="O151" s="273"/>
      <c r="P151" s="273"/>
      <c r="Q151" s="273"/>
      <c r="R151" s="273"/>
      <c r="S151" s="273"/>
      <c r="T151" s="273"/>
      <c r="U151" s="273"/>
      <c r="V151" s="273"/>
      <c r="W151" s="273"/>
      <c r="X151" s="273"/>
      <c r="Y151" s="273"/>
      <c r="Z151" s="273"/>
      <c r="AA151" s="273"/>
      <c r="AB151" s="273"/>
      <c r="AC151" s="273"/>
      <c r="AD151" s="273"/>
      <c r="AE151" s="273"/>
    </row>
    <row r="152" spans="8:31" ht="12.75">
      <c r="H152" s="274"/>
      <c r="I152" s="274"/>
      <c r="J152" s="274"/>
      <c r="K152" s="274"/>
      <c r="L152" s="274"/>
      <c r="M152" s="273"/>
      <c r="N152" s="273"/>
      <c r="O152" s="273"/>
      <c r="P152" s="273"/>
      <c r="Q152" s="273"/>
      <c r="R152" s="273"/>
      <c r="S152" s="273"/>
      <c r="T152" s="273"/>
      <c r="U152" s="273"/>
      <c r="V152" s="273"/>
      <c r="W152" s="273"/>
      <c r="X152" s="273"/>
      <c r="Y152" s="273"/>
      <c r="Z152" s="273"/>
      <c r="AA152" s="273"/>
      <c r="AB152" s="273"/>
      <c r="AC152" s="273"/>
      <c r="AD152" s="273"/>
      <c r="AE152" s="273"/>
    </row>
    <row r="153" spans="8:31" ht="12.75">
      <c r="H153" s="274"/>
      <c r="I153" s="274"/>
      <c r="J153" s="274"/>
      <c r="K153" s="274"/>
      <c r="L153" s="274"/>
      <c r="M153" s="273"/>
      <c r="N153" s="273"/>
      <c r="O153" s="273"/>
      <c r="P153" s="273"/>
      <c r="Q153" s="273"/>
      <c r="R153" s="273"/>
      <c r="S153" s="273"/>
      <c r="T153" s="273"/>
      <c r="U153" s="273"/>
      <c r="V153" s="273"/>
      <c r="W153" s="273"/>
      <c r="X153" s="273"/>
      <c r="Y153" s="273"/>
      <c r="Z153" s="273"/>
      <c r="AA153" s="273"/>
      <c r="AB153" s="273"/>
      <c r="AC153" s="273"/>
      <c r="AD153" s="273"/>
      <c r="AE153" s="273"/>
    </row>
    <row r="154" spans="8:31" ht="12.75">
      <c r="H154" s="274"/>
      <c r="I154" s="274"/>
      <c r="J154" s="274"/>
      <c r="K154" s="274"/>
      <c r="L154" s="274"/>
      <c r="M154" s="273"/>
      <c r="N154" s="273"/>
      <c r="O154" s="273"/>
      <c r="P154" s="273"/>
      <c r="Q154" s="273"/>
      <c r="R154" s="273"/>
      <c r="S154" s="273"/>
      <c r="T154" s="273"/>
      <c r="U154" s="273"/>
      <c r="V154" s="273"/>
      <c r="W154" s="273"/>
      <c r="X154" s="273"/>
      <c r="Y154" s="273"/>
      <c r="Z154" s="273"/>
      <c r="AA154" s="273"/>
      <c r="AB154" s="273"/>
      <c r="AC154" s="273"/>
      <c r="AD154" s="273"/>
      <c r="AE154" s="273"/>
    </row>
    <row r="155" spans="8:31" ht="12.75">
      <c r="H155" s="274"/>
      <c r="I155" s="274"/>
      <c r="J155" s="274"/>
      <c r="K155" s="274"/>
      <c r="L155" s="274"/>
      <c r="M155" s="273"/>
      <c r="N155" s="273"/>
      <c r="O155" s="273"/>
      <c r="P155" s="273"/>
      <c r="Q155" s="273"/>
      <c r="R155" s="273"/>
      <c r="S155" s="273"/>
      <c r="T155" s="273"/>
      <c r="U155" s="273"/>
      <c r="V155" s="273"/>
      <c r="W155" s="273"/>
      <c r="X155" s="273"/>
      <c r="Y155" s="273"/>
      <c r="Z155" s="273"/>
      <c r="AA155" s="273"/>
      <c r="AB155" s="273"/>
      <c r="AC155" s="273"/>
      <c r="AD155" s="273"/>
      <c r="AE155" s="273"/>
    </row>
    <row r="156" spans="8:31" ht="12.75">
      <c r="H156" s="274"/>
      <c r="I156" s="274"/>
      <c r="J156" s="274"/>
      <c r="K156" s="274"/>
      <c r="L156" s="274"/>
      <c r="M156" s="273"/>
      <c r="N156" s="273"/>
      <c r="O156" s="273"/>
      <c r="P156" s="273"/>
      <c r="Q156" s="273"/>
      <c r="R156" s="273"/>
      <c r="S156" s="273"/>
      <c r="T156" s="273"/>
      <c r="U156" s="273"/>
      <c r="V156" s="273"/>
      <c r="W156" s="273"/>
      <c r="X156" s="273"/>
      <c r="Y156" s="273"/>
      <c r="Z156" s="273"/>
      <c r="AA156" s="273"/>
      <c r="AB156" s="273"/>
      <c r="AC156" s="273"/>
      <c r="AD156" s="273"/>
      <c r="AE156" s="273"/>
    </row>
    <row r="157" spans="8:31" ht="12.75">
      <c r="H157" s="274"/>
      <c r="I157" s="274"/>
      <c r="J157" s="274"/>
      <c r="K157" s="274"/>
      <c r="L157" s="274"/>
      <c r="M157" s="273"/>
      <c r="N157" s="273"/>
      <c r="O157" s="273"/>
      <c r="P157" s="273"/>
      <c r="Q157" s="273"/>
      <c r="R157" s="273"/>
      <c r="S157" s="273"/>
      <c r="T157" s="273"/>
      <c r="U157" s="273"/>
      <c r="V157" s="273"/>
      <c r="W157" s="273"/>
      <c r="X157" s="273"/>
      <c r="Y157" s="273"/>
      <c r="Z157" s="273"/>
      <c r="AA157" s="273"/>
      <c r="AB157" s="273"/>
      <c r="AC157" s="273"/>
      <c r="AD157" s="273"/>
      <c r="AE157" s="273"/>
    </row>
    <row r="158" spans="8:31" ht="12.75">
      <c r="H158" s="274"/>
      <c r="I158" s="274"/>
      <c r="J158" s="274"/>
      <c r="K158" s="274"/>
      <c r="L158" s="274"/>
      <c r="M158" s="273"/>
      <c r="N158" s="273"/>
      <c r="O158" s="273"/>
      <c r="P158" s="273"/>
      <c r="Q158" s="273"/>
      <c r="R158" s="273"/>
      <c r="S158" s="273"/>
      <c r="T158" s="273"/>
      <c r="U158" s="273"/>
      <c r="V158" s="273"/>
      <c r="W158" s="273"/>
      <c r="X158" s="273"/>
      <c r="Y158" s="273"/>
      <c r="Z158" s="273"/>
      <c r="AA158" s="273"/>
      <c r="AB158" s="273"/>
      <c r="AC158" s="273"/>
      <c r="AD158" s="273"/>
      <c r="AE158" s="273"/>
    </row>
    <row r="159" spans="8:31" ht="12.75">
      <c r="H159" s="274"/>
      <c r="I159" s="274"/>
      <c r="J159" s="274"/>
      <c r="K159" s="274"/>
      <c r="L159" s="274"/>
      <c r="M159" s="273"/>
      <c r="N159" s="273"/>
      <c r="O159" s="273"/>
      <c r="P159" s="273"/>
      <c r="Q159" s="273"/>
      <c r="R159" s="273"/>
      <c r="S159" s="273"/>
      <c r="T159" s="273"/>
      <c r="U159" s="273"/>
      <c r="V159" s="273"/>
      <c r="W159" s="273"/>
      <c r="X159" s="273"/>
      <c r="Y159" s="273"/>
      <c r="Z159" s="273"/>
      <c r="AA159" s="273"/>
      <c r="AB159" s="273"/>
      <c r="AC159" s="273"/>
      <c r="AD159" s="273"/>
      <c r="AE159" s="273"/>
    </row>
    <row r="160" spans="8:31" ht="12.75">
      <c r="H160" s="274"/>
      <c r="I160" s="274"/>
      <c r="J160" s="274"/>
      <c r="K160" s="274"/>
      <c r="L160" s="274"/>
      <c r="M160" s="273"/>
      <c r="N160" s="273"/>
      <c r="O160" s="273"/>
      <c r="P160" s="273"/>
      <c r="Q160" s="273"/>
      <c r="R160" s="273"/>
      <c r="S160" s="273"/>
      <c r="T160" s="273"/>
      <c r="U160" s="273"/>
      <c r="V160" s="273"/>
      <c r="W160" s="273"/>
      <c r="X160" s="273"/>
      <c r="Y160" s="273"/>
      <c r="Z160" s="273"/>
      <c r="AA160" s="273"/>
      <c r="AB160" s="273"/>
      <c r="AC160" s="273"/>
      <c r="AD160" s="273"/>
      <c r="AE160" s="273"/>
    </row>
    <row r="161" spans="8:31" ht="12.75">
      <c r="H161" s="274"/>
      <c r="I161" s="274"/>
      <c r="J161" s="274"/>
      <c r="K161" s="274"/>
      <c r="L161" s="274"/>
      <c r="M161" s="273"/>
      <c r="N161" s="273"/>
      <c r="O161" s="273"/>
      <c r="P161" s="273"/>
      <c r="Q161" s="273"/>
      <c r="R161" s="273"/>
      <c r="S161" s="273"/>
      <c r="T161" s="273"/>
      <c r="U161" s="273"/>
      <c r="V161" s="273"/>
      <c r="W161" s="273"/>
      <c r="X161" s="273"/>
      <c r="Y161" s="273"/>
      <c r="Z161" s="273"/>
      <c r="AA161" s="273"/>
      <c r="AB161" s="273"/>
      <c r="AC161" s="273"/>
      <c r="AD161" s="273"/>
      <c r="AE161" s="273"/>
    </row>
    <row r="162" spans="8:31" ht="12.75">
      <c r="H162" s="274"/>
      <c r="I162" s="274"/>
      <c r="J162" s="274"/>
      <c r="K162" s="274"/>
      <c r="L162" s="274"/>
      <c r="M162" s="273"/>
      <c r="N162" s="273"/>
      <c r="O162" s="273"/>
      <c r="P162" s="273"/>
      <c r="Q162" s="273"/>
      <c r="R162" s="273"/>
      <c r="S162" s="273"/>
      <c r="T162" s="273"/>
      <c r="U162" s="273"/>
      <c r="V162" s="273"/>
      <c r="W162" s="273"/>
      <c r="X162" s="273"/>
      <c r="Y162" s="273"/>
      <c r="Z162" s="273"/>
      <c r="AA162" s="273"/>
      <c r="AB162" s="273"/>
      <c r="AC162" s="273"/>
      <c r="AD162" s="273"/>
      <c r="AE162" s="273"/>
    </row>
    <row r="163" spans="8:31" ht="12.75">
      <c r="H163" s="274"/>
      <c r="I163" s="274"/>
      <c r="J163" s="274"/>
      <c r="K163" s="274"/>
      <c r="L163" s="274"/>
      <c r="M163" s="273"/>
      <c r="N163" s="273"/>
      <c r="O163" s="273"/>
      <c r="P163" s="273"/>
      <c r="Q163" s="273"/>
      <c r="R163" s="273"/>
      <c r="S163" s="273"/>
      <c r="T163" s="273"/>
      <c r="U163" s="273"/>
      <c r="V163" s="273"/>
      <c r="W163" s="273"/>
      <c r="X163" s="273"/>
      <c r="Y163" s="273"/>
      <c r="Z163" s="273"/>
      <c r="AA163" s="273"/>
      <c r="AB163" s="273"/>
      <c r="AC163" s="273"/>
      <c r="AD163" s="273"/>
      <c r="AE163" s="273"/>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67">
      <selection activeCell="E2" sqref="E2"/>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478" t="s">
        <v>352</v>
      </c>
      <c r="F1" s="478"/>
    </row>
    <row r="2" spans="1:6" ht="12.75">
      <c r="A2" s="1"/>
      <c r="B2" s="1"/>
      <c r="C2" s="1"/>
      <c r="D2" s="1"/>
      <c r="E2" s="1"/>
      <c r="F2" s="1"/>
    </row>
    <row r="3" spans="1:6" ht="12.75">
      <c r="A3" s="1"/>
      <c r="B3" s="1"/>
      <c r="C3" s="1"/>
      <c r="D3" s="1"/>
      <c r="E3" s="1"/>
      <c r="F3" s="1"/>
    </row>
    <row r="4" spans="1:6" ht="18.75">
      <c r="A4" s="467" t="s">
        <v>358</v>
      </c>
      <c r="B4" s="467"/>
      <c r="C4" s="467"/>
      <c r="D4" s="467"/>
      <c r="E4" s="467"/>
      <c r="F4" s="467"/>
    </row>
    <row r="5" spans="1:6" ht="15.75">
      <c r="A5" s="479"/>
      <c r="B5" s="479"/>
      <c r="C5" s="479"/>
      <c r="D5" s="479"/>
      <c r="E5" s="479"/>
      <c r="F5" s="10" t="s">
        <v>359</v>
      </c>
    </row>
    <row r="6" spans="1:6" ht="15.75">
      <c r="A6" s="470" t="s">
        <v>38</v>
      </c>
      <c r="B6" s="470" t="s">
        <v>360</v>
      </c>
      <c r="C6" s="470" t="s">
        <v>42</v>
      </c>
      <c r="D6" s="470" t="s">
        <v>39</v>
      </c>
      <c r="E6" s="470" t="s">
        <v>40</v>
      </c>
      <c r="F6" s="470"/>
    </row>
    <row r="7" spans="1:6" ht="38.25">
      <c r="A7" s="470"/>
      <c r="B7" s="470"/>
      <c r="C7" s="470"/>
      <c r="D7" s="470"/>
      <c r="E7" s="6" t="s">
        <v>43</v>
      </c>
      <c r="F7" s="11" t="s">
        <v>44</v>
      </c>
    </row>
    <row r="8" spans="1:6" ht="15.75">
      <c r="A8" s="6">
        <v>1</v>
      </c>
      <c r="B8" s="12">
        <v>2</v>
      </c>
      <c r="C8" s="6">
        <v>3</v>
      </c>
      <c r="D8" s="6">
        <v>4</v>
      </c>
      <c r="E8" s="6">
        <v>5</v>
      </c>
      <c r="F8" s="11">
        <v>6</v>
      </c>
    </row>
    <row r="9" spans="1:6" ht="15.75">
      <c r="A9" s="471" t="s">
        <v>361</v>
      </c>
      <c r="B9" s="472"/>
      <c r="C9" s="473"/>
      <c r="D9" s="473"/>
      <c r="E9" s="473"/>
      <c r="F9" s="474"/>
    </row>
    <row r="10" spans="1:6" ht="15.75">
      <c r="A10" s="13">
        <v>200000</v>
      </c>
      <c r="B10" s="4" t="s">
        <v>362</v>
      </c>
      <c r="C10" s="14">
        <f>C11</f>
        <v>18002669</v>
      </c>
      <c r="D10" s="14">
        <f>D11</f>
        <v>-25289013</v>
      </c>
      <c r="E10" s="14">
        <f>E11</f>
        <v>43291682</v>
      </c>
      <c r="F10" s="14">
        <f>F11</f>
        <v>42712988</v>
      </c>
    </row>
    <row r="11" spans="1:6" ht="31.5">
      <c r="A11" s="15">
        <v>208000</v>
      </c>
      <c r="B11" s="16" t="s">
        <v>363</v>
      </c>
      <c r="C11" s="17">
        <f>C12+C13</f>
        <v>18002669</v>
      </c>
      <c r="D11" s="17">
        <f>D13+D12</f>
        <v>-25289013</v>
      </c>
      <c r="E11" s="17">
        <f>E13+E12</f>
        <v>43291682</v>
      </c>
      <c r="F11" s="17">
        <f>F13+F12</f>
        <v>42712988</v>
      </c>
    </row>
    <row r="12" spans="1:6" ht="15.75">
      <c r="A12" s="15">
        <v>208100</v>
      </c>
      <c r="B12" s="16" t="s">
        <v>364</v>
      </c>
      <c r="C12" s="17">
        <f>D12+E12</f>
        <v>18002669</v>
      </c>
      <c r="D12" s="17">
        <f>74450+3827995+680000+4266068+2607229+3190547</f>
        <v>14646289</v>
      </c>
      <c r="E12" s="17">
        <f>2308725+578694+405209+63752</f>
        <v>3356380</v>
      </c>
      <c r="F12" s="17">
        <f>1172757+400000+206126+529842+405209+63752</f>
        <v>2777686</v>
      </c>
    </row>
    <row r="13" spans="1:6" ht="47.25" customHeight="1">
      <c r="A13" s="15">
        <v>208400</v>
      </c>
      <c r="B13" s="16" t="s">
        <v>365</v>
      </c>
      <c r="C13" s="17"/>
      <c r="D13" s="17">
        <f>-18461605-9289271+239634-140096-74450-1106922-124300-1151968-4195173-78000-289512-2182862-1212535-381478-1486764</f>
        <v>-39935302</v>
      </c>
      <c r="E13" s="17">
        <f>F13</f>
        <v>39935302</v>
      </c>
      <c r="F13" s="17">
        <f>18461605+9289271-239634+140096+74450+1106922+124300+1151968+4195173+78000+289512+2182862+1212535+381478+1486764</f>
        <v>39935302</v>
      </c>
    </row>
    <row r="14" spans="1:6" ht="15.75">
      <c r="A14" s="18" t="s">
        <v>357</v>
      </c>
      <c r="B14" s="19" t="s">
        <v>366</v>
      </c>
      <c r="C14" s="20">
        <f>C10</f>
        <v>18002669</v>
      </c>
      <c r="D14" s="20">
        <f>D10</f>
        <v>-25289013</v>
      </c>
      <c r="E14" s="20">
        <f>E10</f>
        <v>43291682</v>
      </c>
      <c r="F14" s="20">
        <f>F10</f>
        <v>42712988</v>
      </c>
    </row>
    <row r="15" spans="1:6" ht="13.5">
      <c r="A15" s="475" t="s">
        <v>367</v>
      </c>
      <c r="B15" s="476"/>
      <c r="C15" s="476"/>
      <c r="D15" s="476"/>
      <c r="E15" s="476"/>
      <c r="F15" s="477"/>
    </row>
    <row r="16" spans="1:6" ht="31.5">
      <c r="A16" s="15">
        <v>600000</v>
      </c>
      <c r="B16" s="16" t="s">
        <v>368</v>
      </c>
      <c r="C16" s="17">
        <f>D16+E16</f>
        <v>18002669</v>
      </c>
      <c r="D16" s="17">
        <f>D17</f>
        <v>-25289013</v>
      </c>
      <c r="E16" s="17">
        <f>E17</f>
        <v>43291682</v>
      </c>
      <c r="F16" s="17">
        <f>F17</f>
        <v>42712988</v>
      </c>
    </row>
    <row r="17" spans="1:6" ht="15.75">
      <c r="A17" s="15">
        <v>602000</v>
      </c>
      <c r="B17" s="16" t="s">
        <v>369</v>
      </c>
      <c r="C17" s="17">
        <f>C18+C19</f>
        <v>18002669</v>
      </c>
      <c r="D17" s="17">
        <f>D19+D18</f>
        <v>-25289013</v>
      </c>
      <c r="E17" s="17">
        <f>E19+E18</f>
        <v>43291682</v>
      </c>
      <c r="F17" s="17">
        <f>F19+F18</f>
        <v>42712988</v>
      </c>
    </row>
    <row r="18" spans="1:6" ht="15.75">
      <c r="A18" s="15">
        <v>602100</v>
      </c>
      <c r="B18" s="16" t="s">
        <v>364</v>
      </c>
      <c r="C18" s="17">
        <f>D18+E18</f>
        <v>18002669</v>
      </c>
      <c r="D18" s="17">
        <f>74450+3827995+680000+4266068+2607229+3190547</f>
        <v>14646289</v>
      </c>
      <c r="E18" s="17">
        <f>2308725+578694+405209+63752</f>
        <v>3356380</v>
      </c>
      <c r="F18" s="17">
        <f>1172757+400000+206126+529842+405209+63752</f>
        <v>2777686</v>
      </c>
    </row>
    <row r="19" spans="1:6" ht="47.25" customHeight="1">
      <c r="A19" s="15">
        <v>602400</v>
      </c>
      <c r="B19" s="16" t="s">
        <v>365</v>
      </c>
      <c r="C19" s="17"/>
      <c r="D19" s="17">
        <f>-18461605-9289271+239634-140096-74450-1106922-124300-1151968-4195173-78000-289512-2182862-1212535-381478-1486764</f>
        <v>-39935302</v>
      </c>
      <c r="E19" s="17">
        <f>F19</f>
        <v>39935302</v>
      </c>
      <c r="F19" s="17">
        <f>18461605+9289271-239634+140096+74450+1106922+124300+1151968+4195173+78000+289512+2182862+1212535+381478+1486764</f>
        <v>39935302</v>
      </c>
    </row>
    <row r="20" spans="1:6" ht="15.75">
      <c r="A20" s="18" t="s">
        <v>357</v>
      </c>
      <c r="B20" s="19" t="s">
        <v>366</v>
      </c>
      <c r="C20" s="20">
        <f>C17</f>
        <v>18002669</v>
      </c>
      <c r="D20" s="20">
        <f>D17</f>
        <v>-25289013</v>
      </c>
      <c r="E20" s="20">
        <f>E17</f>
        <v>43291682</v>
      </c>
      <c r="F20" s="20">
        <f>F17</f>
        <v>42712988</v>
      </c>
    </row>
    <row r="21" spans="1:6" ht="15.75">
      <c r="A21" s="21"/>
      <c r="B21" s="22"/>
      <c r="C21" s="23"/>
      <c r="D21" s="24"/>
      <c r="E21" s="24"/>
      <c r="F21" s="24"/>
    </row>
    <row r="22" spans="1:6" ht="15.75">
      <c r="A22" s="21"/>
      <c r="B22" s="22"/>
      <c r="C22" s="23"/>
      <c r="D22" s="24"/>
      <c r="E22" s="24"/>
      <c r="F22" s="24"/>
    </row>
    <row r="23" spans="1:6" ht="15.75">
      <c r="A23" s="21"/>
      <c r="B23" s="22"/>
      <c r="C23" s="23"/>
      <c r="D23" s="24"/>
      <c r="E23" s="24"/>
      <c r="F23" s="24"/>
    </row>
    <row r="24" spans="1:6" ht="12.75">
      <c r="A24" s="25"/>
      <c r="B24" s="25"/>
      <c r="C24" s="25"/>
      <c r="D24" s="25"/>
      <c r="E24" s="25"/>
      <c r="F24" s="25"/>
    </row>
    <row r="25" spans="1:6" ht="12.75">
      <c r="A25" s="1"/>
      <c r="B25" s="1"/>
      <c r="C25" s="1"/>
      <c r="D25" s="1"/>
      <c r="E25" s="1"/>
      <c r="F25" s="1"/>
    </row>
    <row r="26" spans="1:6" ht="15.75">
      <c r="A26" s="4" t="s">
        <v>370</v>
      </c>
      <c r="B26" s="1"/>
      <c r="C26" s="1"/>
      <c r="D26" s="1"/>
      <c r="E26" s="5" t="s">
        <v>371</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322"/>
  <sheetViews>
    <sheetView zoomScalePageLayoutView="0" workbookViewId="0" topLeftCell="A1">
      <pane xSplit="3" ySplit="10" topLeftCell="L19" activePane="bottomRight" state="frozen"/>
      <selection pane="topLeft" activeCell="A1" sqref="A1"/>
      <selection pane="topRight" activeCell="D1" sqref="D1"/>
      <selection pane="bottomLeft" activeCell="A13" sqref="A13"/>
      <selection pane="bottomRight" activeCell="O2" sqref="O2"/>
    </sheetView>
  </sheetViews>
  <sheetFormatPr defaultColWidth="9.33203125" defaultRowHeight="12.75"/>
  <cols>
    <col min="1" max="1" width="16.83203125" style="26" customWidth="1"/>
    <col min="2" max="2" width="16.66015625" style="104" customWidth="1"/>
    <col min="3" max="3" width="17.83203125" style="104" customWidth="1"/>
    <col min="4" max="4" width="65.5" style="3" customWidth="1"/>
    <col min="5" max="5" width="16.33203125" style="2" customWidth="1"/>
    <col min="6" max="6" width="17.16015625" style="2" customWidth="1"/>
    <col min="7" max="7" width="16.16015625" style="2" customWidth="1"/>
    <col min="8" max="8" width="14.83203125" style="2" customWidth="1"/>
    <col min="9" max="9" width="13.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28" bestFit="1" customWidth="1"/>
    <col min="18" max="18" width="17.83203125" style="28" customWidth="1"/>
    <col min="19" max="19" width="14.33203125" style="28" bestFit="1" customWidth="1"/>
    <col min="20" max="25" width="9.33203125" style="28" customWidth="1"/>
    <col min="26" max="26" width="7.83203125" style="28" bestFit="1" customWidth="1"/>
    <col min="27" max="27" width="10.5" style="28" bestFit="1" customWidth="1"/>
    <col min="28" max="28" width="13.16015625" style="28" bestFit="1" customWidth="1"/>
    <col min="29" max="29" width="11.83203125" style="28" bestFit="1" customWidth="1"/>
    <col min="30" max="31" width="9.33203125" style="28" customWidth="1"/>
    <col min="32" max="32" width="11.83203125" style="28" bestFit="1" customWidth="1"/>
    <col min="33" max="16384" width="9.33203125" style="28" customWidth="1"/>
  </cols>
  <sheetData>
    <row r="1" spans="2:16" ht="70.5" customHeight="1">
      <c r="B1" s="27"/>
      <c r="C1" s="27"/>
      <c r="O1" s="478" t="s">
        <v>353</v>
      </c>
      <c r="P1" s="478"/>
    </row>
    <row r="2" spans="2:15" ht="15.75">
      <c r="B2" s="27"/>
      <c r="C2" s="27"/>
      <c r="O2" s="30"/>
    </row>
    <row r="3" spans="2:16" ht="18.75">
      <c r="B3" s="486" t="s">
        <v>372</v>
      </c>
      <c r="C3" s="486"/>
      <c r="D3" s="487"/>
      <c r="E3" s="487"/>
      <c r="F3" s="487"/>
      <c r="G3" s="487"/>
      <c r="H3" s="487"/>
      <c r="I3" s="487"/>
      <c r="J3" s="487"/>
      <c r="K3" s="487"/>
      <c r="L3" s="487"/>
      <c r="M3" s="487"/>
      <c r="N3" s="487"/>
      <c r="O3" s="487"/>
      <c r="P3" s="487"/>
    </row>
    <row r="4" spans="2:16" ht="19.5" thickBot="1">
      <c r="B4" s="32"/>
      <c r="C4" s="32"/>
      <c r="D4" s="33"/>
      <c r="P4" s="31" t="s">
        <v>359</v>
      </c>
    </row>
    <row r="5" spans="1:16" ht="15">
      <c r="A5" s="480" t="s">
        <v>373</v>
      </c>
      <c r="B5" s="482" t="s">
        <v>374</v>
      </c>
      <c r="C5" s="482" t="s">
        <v>375</v>
      </c>
      <c r="D5" s="485" t="s">
        <v>376</v>
      </c>
      <c r="E5" s="485" t="s">
        <v>39</v>
      </c>
      <c r="F5" s="485"/>
      <c r="G5" s="485"/>
      <c r="H5" s="485"/>
      <c r="I5" s="485"/>
      <c r="J5" s="485" t="s">
        <v>40</v>
      </c>
      <c r="K5" s="485"/>
      <c r="L5" s="485"/>
      <c r="M5" s="485"/>
      <c r="N5" s="485"/>
      <c r="O5" s="485"/>
      <c r="P5" s="488" t="s">
        <v>377</v>
      </c>
    </row>
    <row r="6" spans="1:16" ht="15">
      <c r="A6" s="481"/>
      <c r="B6" s="483"/>
      <c r="C6" s="484"/>
      <c r="D6" s="483"/>
      <c r="E6" s="483" t="s">
        <v>43</v>
      </c>
      <c r="F6" s="483" t="s">
        <v>378</v>
      </c>
      <c r="G6" s="483" t="s">
        <v>379</v>
      </c>
      <c r="H6" s="483"/>
      <c r="I6" s="483" t="s">
        <v>380</v>
      </c>
      <c r="J6" s="483" t="s">
        <v>43</v>
      </c>
      <c r="K6" s="483" t="s">
        <v>44</v>
      </c>
      <c r="L6" s="483" t="s">
        <v>378</v>
      </c>
      <c r="M6" s="483" t="s">
        <v>379</v>
      </c>
      <c r="N6" s="483"/>
      <c r="O6" s="483" t="s">
        <v>380</v>
      </c>
      <c r="P6" s="489"/>
    </row>
    <row r="7" spans="1:16" ht="12.75" customHeight="1">
      <c r="A7" s="481"/>
      <c r="B7" s="483"/>
      <c r="C7" s="484"/>
      <c r="D7" s="483"/>
      <c r="E7" s="483"/>
      <c r="F7" s="483"/>
      <c r="G7" s="483" t="s">
        <v>381</v>
      </c>
      <c r="H7" s="483" t="s">
        <v>382</v>
      </c>
      <c r="I7" s="451"/>
      <c r="J7" s="483"/>
      <c r="K7" s="483"/>
      <c r="L7" s="483"/>
      <c r="M7" s="483" t="s">
        <v>381</v>
      </c>
      <c r="N7" s="483" t="s">
        <v>382</v>
      </c>
      <c r="O7" s="483"/>
      <c r="P7" s="489"/>
    </row>
    <row r="8" spans="1:16" ht="12.75" customHeight="1">
      <c r="A8" s="481"/>
      <c r="B8" s="483"/>
      <c r="C8" s="484"/>
      <c r="D8" s="483"/>
      <c r="E8" s="483"/>
      <c r="F8" s="483"/>
      <c r="G8" s="483"/>
      <c r="H8" s="483"/>
      <c r="I8" s="451"/>
      <c r="J8" s="483"/>
      <c r="K8" s="483"/>
      <c r="L8" s="483"/>
      <c r="M8" s="483"/>
      <c r="N8" s="483"/>
      <c r="O8" s="483"/>
      <c r="P8" s="489"/>
    </row>
    <row r="9" spans="1:16" ht="48.75" customHeight="1">
      <c r="A9" s="481"/>
      <c r="B9" s="483"/>
      <c r="C9" s="484"/>
      <c r="D9" s="483"/>
      <c r="E9" s="483"/>
      <c r="F9" s="483"/>
      <c r="G9" s="483"/>
      <c r="H9" s="483"/>
      <c r="I9" s="451"/>
      <c r="J9" s="483"/>
      <c r="K9" s="483"/>
      <c r="L9" s="483"/>
      <c r="M9" s="483"/>
      <c r="N9" s="483"/>
      <c r="O9" s="483"/>
      <c r="P9" s="489"/>
    </row>
    <row r="10" spans="1:16" ht="15">
      <c r="A10" s="249" t="s">
        <v>383</v>
      </c>
      <c r="B10" s="34">
        <v>2</v>
      </c>
      <c r="C10" s="35">
        <v>3</v>
      </c>
      <c r="D10" s="34">
        <v>4</v>
      </c>
      <c r="E10" s="34">
        <v>5</v>
      </c>
      <c r="F10" s="34">
        <v>6</v>
      </c>
      <c r="G10" s="34">
        <v>7</v>
      </c>
      <c r="H10" s="34">
        <v>8</v>
      </c>
      <c r="I10" s="34">
        <v>9</v>
      </c>
      <c r="J10" s="34">
        <v>10</v>
      </c>
      <c r="K10" s="34">
        <v>11</v>
      </c>
      <c r="L10" s="34">
        <v>12</v>
      </c>
      <c r="M10" s="34">
        <v>13</v>
      </c>
      <c r="N10" s="34">
        <v>14</v>
      </c>
      <c r="O10" s="34">
        <v>15</v>
      </c>
      <c r="P10" s="250">
        <v>16</v>
      </c>
    </row>
    <row r="11" spans="1:17" s="40" customFormat="1" ht="37.5">
      <c r="A11" s="251" t="s">
        <v>384</v>
      </c>
      <c r="B11" s="36"/>
      <c r="C11" s="36"/>
      <c r="D11" s="37" t="s">
        <v>385</v>
      </c>
      <c r="E11" s="38">
        <f>E12</f>
        <v>135559864</v>
      </c>
      <c r="F11" s="38">
        <f aca="true" t="shared" si="0" ref="F11:O11">F12</f>
        <v>135559864</v>
      </c>
      <c r="G11" s="38">
        <f t="shared" si="0"/>
        <v>16796971</v>
      </c>
      <c r="H11" s="38">
        <f t="shared" si="0"/>
        <v>975991</v>
      </c>
      <c r="I11" s="38"/>
      <c r="J11" s="38">
        <f t="shared" si="0"/>
        <v>29092244</v>
      </c>
      <c r="K11" s="38">
        <f t="shared" si="0"/>
        <v>25685586</v>
      </c>
      <c r="L11" s="38">
        <f t="shared" si="0"/>
        <v>3126658</v>
      </c>
      <c r="M11" s="38">
        <f t="shared" si="0"/>
        <v>19461</v>
      </c>
      <c r="N11" s="38">
        <f t="shared" si="0"/>
        <v>4786</v>
      </c>
      <c r="O11" s="38">
        <f t="shared" si="0"/>
        <v>25965586</v>
      </c>
      <c r="P11" s="252">
        <f>P12</f>
        <v>164652108</v>
      </c>
      <c r="Q11" s="39"/>
    </row>
    <row r="12" spans="1:17" s="40" customFormat="1" ht="37.5">
      <c r="A12" s="251" t="s">
        <v>386</v>
      </c>
      <c r="B12" s="36"/>
      <c r="C12" s="36"/>
      <c r="D12" s="37" t="s">
        <v>385</v>
      </c>
      <c r="E12" s="38">
        <f>F12+I12</f>
        <v>135559864</v>
      </c>
      <c r="F12" s="38">
        <f>F13+F17+F19+F26+F30+F38+F40+F43+F44+F45+F46+F47+F48+F49+F50+F54+F55+F57+F58+F59+F61+F63+F65+F66+F68+F71+F72+F73+F74+F56+F42+F60+F53+F62</f>
        <v>135559864</v>
      </c>
      <c r="G12" s="38">
        <f aca="true" t="shared" si="1" ref="G12:O12">G13+G17+G19+G26+G30+G38+G40+G43+G44+G45+G46+G47+G48+G49+G50+G54+G55+G57+G58+G59+G61+G63+G65+G66+G68+G71+G72+G73+G74+G56+G42+G60+G53+G62</f>
        <v>16796971</v>
      </c>
      <c r="H12" s="38">
        <f t="shared" si="1"/>
        <v>975991</v>
      </c>
      <c r="I12" s="38"/>
      <c r="J12" s="38">
        <f t="shared" si="1"/>
        <v>29092244</v>
      </c>
      <c r="K12" s="38">
        <f t="shared" si="1"/>
        <v>25685586</v>
      </c>
      <c r="L12" s="38">
        <f t="shared" si="1"/>
        <v>3126658</v>
      </c>
      <c r="M12" s="38">
        <f t="shared" si="1"/>
        <v>19461</v>
      </c>
      <c r="N12" s="38">
        <f t="shared" si="1"/>
        <v>4786</v>
      </c>
      <c r="O12" s="38">
        <f t="shared" si="1"/>
        <v>25965586</v>
      </c>
      <c r="P12" s="252">
        <f>E12+J12</f>
        <v>164652108</v>
      </c>
      <c r="Q12" s="39"/>
    </row>
    <row r="13" spans="1:17" s="40" customFormat="1" ht="93.75">
      <c r="A13" s="253" t="s">
        <v>387</v>
      </c>
      <c r="B13" s="41" t="s">
        <v>388</v>
      </c>
      <c r="C13" s="41" t="s">
        <v>389</v>
      </c>
      <c r="D13" s="42" t="s">
        <v>390</v>
      </c>
      <c r="E13" s="43">
        <f>E15+E16</f>
        <v>18789807</v>
      </c>
      <c r="F13" s="43">
        <f aca="true" t="shared" si="2" ref="F13:O13">F15+F16</f>
        <v>18789807</v>
      </c>
      <c r="G13" s="43">
        <f t="shared" si="2"/>
        <v>16170671</v>
      </c>
      <c r="H13" s="43">
        <f t="shared" si="2"/>
        <v>914213</v>
      </c>
      <c r="I13" s="43"/>
      <c r="J13" s="43">
        <f t="shared" si="2"/>
        <v>375221</v>
      </c>
      <c r="K13" s="43">
        <f t="shared" si="2"/>
        <v>370221</v>
      </c>
      <c r="L13" s="43">
        <f t="shared" si="2"/>
        <v>5000</v>
      </c>
      <c r="M13" s="43"/>
      <c r="N13" s="43"/>
      <c r="O13" s="43">
        <f t="shared" si="2"/>
        <v>370221</v>
      </c>
      <c r="P13" s="252">
        <f>E13+J13</f>
        <v>19165028</v>
      </c>
      <c r="Q13" s="39"/>
    </row>
    <row r="14" spans="1:39" s="40" customFormat="1" ht="18.75">
      <c r="A14" s="253"/>
      <c r="B14" s="41"/>
      <c r="C14" s="41"/>
      <c r="D14" s="42" t="s">
        <v>391</v>
      </c>
      <c r="E14" s="43"/>
      <c r="F14" s="43"/>
      <c r="G14" s="43"/>
      <c r="H14" s="43"/>
      <c r="I14" s="43"/>
      <c r="J14" s="43"/>
      <c r="K14" s="43"/>
      <c r="L14" s="43"/>
      <c r="M14" s="43"/>
      <c r="N14" s="43"/>
      <c r="O14" s="43"/>
      <c r="P14" s="252"/>
      <c r="Q14" s="39"/>
      <c r="R14" s="39"/>
      <c r="S14" s="39"/>
      <c r="T14" s="39"/>
      <c r="U14" s="39"/>
      <c r="V14" s="39"/>
      <c r="W14" s="39"/>
      <c r="X14" s="39"/>
      <c r="Y14" s="39"/>
      <c r="Z14" s="39"/>
      <c r="AA14" s="39"/>
      <c r="AB14" s="39"/>
      <c r="AC14" s="39"/>
      <c r="AD14" s="39"/>
      <c r="AE14" s="39"/>
      <c r="AF14" s="39"/>
      <c r="AG14" s="39"/>
      <c r="AH14" s="39"/>
      <c r="AI14" s="39"/>
      <c r="AJ14" s="39"/>
      <c r="AK14" s="39"/>
      <c r="AL14" s="39"/>
      <c r="AM14" s="39"/>
    </row>
    <row r="15" spans="1:17" s="40" customFormat="1" ht="37.5">
      <c r="A15" s="253"/>
      <c r="B15" s="41"/>
      <c r="C15" s="41"/>
      <c r="D15" s="44" t="s">
        <v>392</v>
      </c>
      <c r="E15" s="43">
        <f>F15</f>
        <v>17029896</v>
      </c>
      <c r="F15" s="43">
        <f>16565703+37626+54216+198800+20000+153551</f>
        <v>17029896</v>
      </c>
      <c r="G15" s="43">
        <v>14876224</v>
      </c>
      <c r="H15" s="43">
        <f>666883+3608</f>
        <v>670491</v>
      </c>
      <c r="I15" s="43"/>
      <c r="J15" s="43">
        <f>O15+L15</f>
        <v>354221</v>
      </c>
      <c r="K15" s="43">
        <f>200000+106581+47640</f>
        <v>354221</v>
      </c>
      <c r="L15" s="43"/>
      <c r="M15" s="43"/>
      <c r="N15" s="43"/>
      <c r="O15" s="43">
        <f>K15</f>
        <v>354221</v>
      </c>
      <c r="P15" s="252">
        <f>E15+J15</f>
        <v>17384117</v>
      </c>
      <c r="Q15" s="39"/>
    </row>
    <row r="16" spans="1:17" s="40" customFormat="1" ht="37.5">
      <c r="A16" s="253"/>
      <c r="B16" s="41"/>
      <c r="C16" s="41"/>
      <c r="D16" s="44" t="s">
        <v>393</v>
      </c>
      <c r="E16" s="43">
        <f>F16</f>
        <v>1759911</v>
      </c>
      <c r="F16" s="43">
        <f>1759911</f>
        <v>1759911</v>
      </c>
      <c r="G16" s="43">
        <v>1294447</v>
      </c>
      <c r="H16" s="43">
        <f>242891+831</f>
        <v>243722</v>
      </c>
      <c r="I16" s="43"/>
      <c r="J16" s="43">
        <f>K16+L16</f>
        <v>21000</v>
      </c>
      <c r="K16" s="43">
        <v>16000</v>
      </c>
      <c r="L16" s="43">
        <v>5000</v>
      </c>
      <c r="M16" s="43"/>
      <c r="N16" s="43"/>
      <c r="O16" s="43">
        <f>K16</f>
        <v>16000</v>
      </c>
      <c r="P16" s="252">
        <f>E16+J16</f>
        <v>1780911</v>
      </c>
      <c r="Q16" s="39"/>
    </row>
    <row r="17" spans="1:17" s="40" customFormat="1" ht="33" customHeight="1">
      <c r="A17" s="253" t="s">
        <v>394</v>
      </c>
      <c r="B17" s="41" t="s">
        <v>395</v>
      </c>
      <c r="C17" s="41" t="s">
        <v>396</v>
      </c>
      <c r="D17" s="44" t="s">
        <v>397</v>
      </c>
      <c r="E17" s="43">
        <f>E18</f>
        <v>691356</v>
      </c>
      <c r="F17" s="43">
        <f aca="true" t="shared" si="3" ref="F17:O17">F18</f>
        <v>691356</v>
      </c>
      <c r="G17" s="43">
        <f t="shared" si="3"/>
        <v>626300</v>
      </c>
      <c r="H17" s="43">
        <f t="shared" si="3"/>
        <v>61778</v>
      </c>
      <c r="I17" s="43"/>
      <c r="J17" s="43">
        <f>K17+L17</f>
        <v>350000</v>
      </c>
      <c r="K17" s="43">
        <f t="shared" si="3"/>
        <v>300000</v>
      </c>
      <c r="L17" s="43">
        <f t="shared" si="3"/>
        <v>50000</v>
      </c>
      <c r="M17" s="43">
        <f t="shared" si="3"/>
        <v>19461</v>
      </c>
      <c r="N17" s="43">
        <f t="shared" si="3"/>
        <v>4786</v>
      </c>
      <c r="O17" s="43">
        <f t="shared" si="3"/>
        <v>300000</v>
      </c>
      <c r="P17" s="252">
        <f aca="true" t="shared" si="4" ref="P17:P89">E17+J17</f>
        <v>1041356</v>
      </c>
      <c r="Q17" s="39"/>
    </row>
    <row r="18" spans="1:17" s="40" customFormat="1" ht="37.5">
      <c r="A18" s="254"/>
      <c r="B18" s="45"/>
      <c r="C18" s="45"/>
      <c r="D18" s="44" t="s">
        <v>398</v>
      </c>
      <c r="E18" s="43">
        <f>F18</f>
        <v>691356</v>
      </c>
      <c r="F18" s="43">
        <f>321+3714+G18+H18-757</f>
        <v>691356</v>
      </c>
      <c r="G18" s="43">
        <f>513902+112398</f>
        <v>626300</v>
      </c>
      <c r="H18" s="43">
        <f>61021+757</f>
        <v>61778</v>
      </c>
      <c r="I18" s="43"/>
      <c r="J18" s="43">
        <f>K18+L18</f>
        <v>350000</v>
      </c>
      <c r="K18" s="43">
        <v>300000</v>
      </c>
      <c r="L18" s="43">
        <f>25753+M18+N18</f>
        <v>50000</v>
      </c>
      <c r="M18" s="43">
        <f>15951+3510</f>
        <v>19461</v>
      </c>
      <c r="N18" s="43">
        <v>4786</v>
      </c>
      <c r="O18" s="43">
        <f>K18</f>
        <v>300000</v>
      </c>
      <c r="P18" s="252">
        <f t="shared" si="4"/>
        <v>1041356</v>
      </c>
      <c r="Q18" s="39"/>
    </row>
    <row r="19" spans="1:17" s="40" customFormat="1" ht="37.5" customHeight="1">
      <c r="A19" s="253" t="s">
        <v>399</v>
      </c>
      <c r="B19" s="41" t="s">
        <v>400</v>
      </c>
      <c r="C19" s="41" t="s">
        <v>401</v>
      </c>
      <c r="D19" s="44" t="s">
        <v>402</v>
      </c>
      <c r="E19" s="43">
        <f>E21+E23+E24+E25</f>
        <v>68633373</v>
      </c>
      <c r="F19" s="43">
        <f aca="true" t="shared" si="5" ref="F19:O19">F21+F23+F24+F25</f>
        <v>68633373</v>
      </c>
      <c r="G19" s="43"/>
      <c r="H19" s="43"/>
      <c r="I19" s="43"/>
      <c r="J19" s="43">
        <f t="shared" si="5"/>
        <v>5426909</v>
      </c>
      <c r="K19" s="43">
        <f t="shared" si="5"/>
        <v>2778845</v>
      </c>
      <c r="L19" s="43">
        <f t="shared" si="5"/>
        <v>2648064</v>
      </c>
      <c r="M19" s="43"/>
      <c r="N19" s="43"/>
      <c r="O19" s="43">
        <f t="shared" si="5"/>
        <v>2778845</v>
      </c>
      <c r="P19" s="252">
        <f t="shared" si="4"/>
        <v>74060282</v>
      </c>
      <c r="Q19" s="39"/>
    </row>
    <row r="20" spans="1:17" s="40" customFormat="1" ht="18.75" hidden="1">
      <c r="A20" s="253"/>
      <c r="B20" s="41"/>
      <c r="C20" s="41"/>
      <c r="D20" s="44" t="s">
        <v>391</v>
      </c>
      <c r="E20" s="43"/>
      <c r="F20" s="43"/>
      <c r="G20" s="43"/>
      <c r="H20" s="43"/>
      <c r="I20" s="43"/>
      <c r="J20" s="43"/>
      <c r="K20" s="43"/>
      <c r="L20" s="43"/>
      <c r="M20" s="43"/>
      <c r="N20" s="43"/>
      <c r="O20" s="43"/>
      <c r="P20" s="252">
        <f t="shared" si="4"/>
        <v>0</v>
      </c>
      <c r="Q20" s="39"/>
    </row>
    <row r="21" spans="1:17" s="40" customFormat="1" ht="26.25" customHeight="1" hidden="1">
      <c r="A21" s="253"/>
      <c r="B21" s="41"/>
      <c r="C21" s="41"/>
      <c r="D21" s="44" t="s">
        <v>403</v>
      </c>
      <c r="E21" s="43">
        <f>F21</f>
        <v>49518000</v>
      </c>
      <c r="F21" s="43">
        <v>49518000</v>
      </c>
      <c r="G21" s="43"/>
      <c r="H21" s="43"/>
      <c r="I21" s="43"/>
      <c r="J21" s="46"/>
      <c r="K21" s="46"/>
      <c r="L21" s="46"/>
      <c r="M21" s="43"/>
      <c r="N21" s="43"/>
      <c r="O21" s="43"/>
      <c r="P21" s="252">
        <f t="shared" si="4"/>
        <v>49518000</v>
      </c>
      <c r="Q21" s="39"/>
    </row>
    <row r="22" spans="1:17" s="40" customFormat="1" ht="120.75" customHeight="1" hidden="1">
      <c r="A22" s="253"/>
      <c r="B22" s="41"/>
      <c r="C22" s="41"/>
      <c r="D22" s="44" t="s">
        <v>404</v>
      </c>
      <c r="E22" s="43"/>
      <c r="F22" s="43"/>
      <c r="G22" s="43"/>
      <c r="H22" s="43"/>
      <c r="I22" s="43"/>
      <c r="J22" s="46"/>
      <c r="K22" s="46"/>
      <c r="L22" s="46"/>
      <c r="M22" s="43"/>
      <c r="N22" s="43"/>
      <c r="O22" s="43"/>
      <c r="P22" s="252">
        <f t="shared" si="4"/>
        <v>0</v>
      </c>
      <c r="Q22" s="39"/>
    </row>
    <row r="23" spans="1:17" s="40" customFormat="1" ht="56.25" hidden="1">
      <c r="A23" s="253"/>
      <c r="B23" s="41"/>
      <c r="C23" s="41"/>
      <c r="D23" s="47" t="s">
        <v>405</v>
      </c>
      <c r="E23" s="43">
        <f>F23</f>
        <v>98700</v>
      </c>
      <c r="F23" s="43">
        <f>213300-114600</f>
        <v>98700</v>
      </c>
      <c r="G23" s="43"/>
      <c r="H23" s="43"/>
      <c r="I23" s="43"/>
      <c r="J23" s="46"/>
      <c r="K23" s="46"/>
      <c r="L23" s="46"/>
      <c r="M23" s="43"/>
      <c r="N23" s="43"/>
      <c r="O23" s="43"/>
      <c r="P23" s="252">
        <f t="shared" si="4"/>
        <v>98700</v>
      </c>
      <c r="Q23" s="39"/>
    </row>
    <row r="24" spans="1:17" s="40" customFormat="1" ht="93.75" hidden="1">
      <c r="A24" s="253"/>
      <c r="B24" s="41"/>
      <c r="C24" s="41"/>
      <c r="D24" s="48" t="s">
        <v>404</v>
      </c>
      <c r="E24" s="43">
        <f>F24</f>
        <v>3448400</v>
      </c>
      <c r="F24" s="43">
        <f>4042300-593900</f>
        <v>3448400</v>
      </c>
      <c r="G24" s="43"/>
      <c r="H24" s="43"/>
      <c r="I24" s="43"/>
      <c r="J24" s="46"/>
      <c r="K24" s="46"/>
      <c r="L24" s="46"/>
      <c r="M24" s="43"/>
      <c r="N24" s="43"/>
      <c r="O24" s="43"/>
      <c r="P24" s="252">
        <f t="shared" si="4"/>
        <v>3448400</v>
      </c>
      <c r="Q24" s="39"/>
    </row>
    <row r="25" spans="1:17" s="40" customFormat="1" ht="18.75" hidden="1">
      <c r="A25" s="253"/>
      <c r="B25" s="41"/>
      <c r="C25" s="41"/>
      <c r="D25" s="44" t="s">
        <v>406</v>
      </c>
      <c r="E25" s="43">
        <f>F25</f>
        <v>15568273</v>
      </c>
      <c r="F25" s="43">
        <f>10100000+1557566-707400+132000+593900+193000+146000+51430+144600+100000+152128+649388+30050+1000000+290296+5000+1130315</f>
        <v>15568273</v>
      </c>
      <c r="G25" s="43"/>
      <c r="H25" s="43"/>
      <c r="I25" s="43"/>
      <c r="J25" s="43">
        <f>O25+L25</f>
        <v>5426909</v>
      </c>
      <c r="K25" s="43">
        <f>1579984+168000+114000+63752+112000+10000+523209+207900</f>
        <v>2778845</v>
      </c>
      <c r="L25" s="43">
        <v>2648064</v>
      </c>
      <c r="M25" s="43"/>
      <c r="N25" s="43"/>
      <c r="O25" s="43">
        <f>K25</f>
        <v>2778845</v>
      </c>
      <c r="P25" s="252">
        <f t="shared" si="4"/>
        <v>20995182</v>
      </c>
      <c r="Q25" s="39"/>
    </row>
    <row r="26" spans="1:17" s="40" customFormat="1" ht="37.5">
      <c r="A26" s="253" t="s">
        <v>407</v>
      </c>
      <c r="B26" s="41" t="s">
        <v>408</v>
      </c>
      <c r="C26" s="41" t="s">
        <v>409</v>
      </c>
      <c r="D26" s="44" t="s">
        <v>410</v>
      </c>
      <c r="E26" s="43">
        <f>E28</f>
        <v>459900</v>
      </c>
      <c r="F26" s="43">
        <f>F28</f>
        <v>459900</v>
      </c>
      <c r="G26" s="43"/>
      <c r="H26" s="43"/>
      <c r="I26" s="43"/>
      <c r="J26" s="43"/>
      <c r="K26" s="43"/>
      <c r="L26" s="43"/>
      <c r="M26" s="43"/>
      <c r="N26" s="43"/>
      <c r="O26" s="43"/>
      <c r="P26" s="252">
        <f t="shared" si="4"/>
        <v>459900</v>
      </c>
      <c r="Q26" s="39"/>
    </row>
    <row r="27" spans="1:17" s="40" customFormat="1" ht="18.75" hidden="1">
      <c r="A27" s="253"/>
      <c r="B27" s="41"/>
      <c r="C27" s="41"/>
      <c r="D27" s="44" t="s">
        <v>391</v>
      </c>
      <c r="E27" s="43"/>
      <c r="F27" s="43"/>
      <c r="G27" s="43"/>
      <c r="H27" s="43"/>
      <c r="I27" s="43"/>
      <c r="J27" s="43"/>
      <c r="K27" s="43"/>
      <c r="L27" s="43"/>
      <c r="M27" s="43"/>
      <c r="N27" s="43"/>
      <c r="O27" s="43"/>
      <c r="P27" s="252"/>
      <c r="Q27" s="39"/>
    </row>
    <row r="28" spans="1:17" s="40" customFormat="1" ht="100.5" customHeight="1" hidden="1">
      <c r="A28" s="253"/>
      <c r="B28" s="41"/>
      <c r="C28" s="41"/>
      <c r="D28" s="44" t="s">
        <v>411</v>
      </c>
      <c r="E28" s="43">
        <f>F28</f>
        <v>459900</v>
      </c>
      <c r="F28" s="43">
        <v>459900</v>
      </c>
      <c r="G28" s="43"/>
      <c r="H28" s="43"/>
      <c r="I28" s="43"/>
      <c r="J28" s="43"/>
      <c r="K28" s="43"/>
      <c r="L28" s="43"/>
      <c r="M28" s="43"/>
      <c r="N28" s="43"/>
      <c r="O28" s="43"/>
      <c r="P28" s="252">
        <f t="shared" si="4"/>
        <v>459900</v>
      </c>
      <c r="Q28" s="39"/>
    </row>
    <row r="29" spans="1:17" s="50" customFormat="1" ht="37.5" hidden="1">
      <c r="A29" s="251" t="s">
        <v>412</v>
      </c>
      <c r="B29" s="36" t="s">
        <v>413</v>
      </c>
      <c r="C29" s="36"/>
      <c r="D29" s="37" t="s">
        <v>414</v>
      </c>
      <c r="E29" s="38">
        <f>E30</f>
        <v>819421</v>
      </c>
      <c r="F29" s="38">
        <f aca="true" t="shared" si="6" ref="F29:O29">F30</f>
        <v>819421</v>
      </c>
      <c r="G29" s="38">
        <f t="shared" si="6"/>
        <v>0</v>
      </c>
      <c r="H29" s="38">
        <f t="shared" si="6"/>
        <v>0</v>
      </c>
      <c r="I29" s="38">
        <f t="shared" si="6"/>
        <v>0</v>
      </c>
      <c r="J29" s="38">
        <f t="shared" si="6"/>
        <v>2077014</v>
      </c>
      <c r="K29" s="38">
        <f t="shared" si="6"/>
        <v>2077014</v>
      </c>
      <c r="L29" s="38">
        <f t="shared" si="6"/>
        <v>0</v>
      </c>
      <c r="M29" s="38">
        <f t="shared" si="6"/>
        <v>0</v>
      </c>
      <c r="N29" s="38">
        <f t="shared" si="6"/>
        <v>0</v>
      </c>
      <c r="O29" s="38">
        <f t="shared" si="6"/>
        <v>2077014</v>
      </c>
      <c r="P29" s="252">
        <f t="shared" si="4"/>
        <v>2896435</v>
      </c>
      <c r="Q29" s="49"/>
    </row>
    <row r="30" spans="1:17" s="40" customFormat="1" ht="37.5">
      <c r="A30" s="253" t="s">
        <v>415</v>
      </c>
      <c r="B30" s="41" t="s">
        <v>416</v>
      </c>
      <c r="C30" s="41" t="s">
        <v>409</v>
      </c>
      <c r="D30" s="44" t="s">
        <v>417</v>
      </c>
      <c r="E30" s="43">
        <f>E32+E33+E34+E36+E35</f>
        <v>819421</v>
      </c>
      <c r="F30" s="43">
        <f>F32+F33+F34+F36+F35</f>
        <v>819421</v>
      </c>
      <c r="G30" s="43"/>
      <c r="H30" s="43"/>
      <c r="I30" s="43"/>
      <c r="J30" s="43">
        <f>J32+J33+J34+J36+J35</f>
        <v>2077014</v>
      </c>
      <c r="K30" s="43">
        <f>K32+K33+K34+K36+K35</f>
        <v>2077014</v>
      </c>
      <c r="L30" s="43"/>
      <c r="M30" s="43"/>
      <c r="N30" s="43"/>
      <c r="O30" s="43">
        <f>O32+O33+O34+O36+O35</f>
        <v>2077014</v>
      </c>
      <c r="P30" s="252">
        <f t="shared" si="4"/>
        <v>2896435</v>
      </c>
      <c r="Q30" s="39"/>
    </row>
    <row r="31" spans="1:17" s="40" customFormat="1" ht="18.75" hidden="1">
      <c r="A31" s="253"/>
      <c r="B31" s="41"/>
      <c r="C31" s="41"/>
      <c r="D31" s="44" t="s">
        <v>391</v>
      </c>
      <c r="E31" s="43"/>
      <c r="F31" s="43"/>
      <c r="G31" s="43"/>
      <c r="H31" s="43"/>
      <c r="I31" s="43"/>
      <c r="J31" s="43"/>
      <c r="K31" s="43"/>
      <c r="L31" s="43"/>
      <c r="M31" s="43"/>
      <c r="N31" s="43"/>
      <c r="O31" s="43"/>
      <c r="P31" s="252"/>
      <c r="Q31" s="39"/>
    </row>
    <row r="32" spans="1:17" s="40" customFormat="1" ht="37.5" hidden="1">
      <c r="A32" s="253"/>
      <c r="B32" s="41"/>
      <c r="C32" s="41"/>
      <c r="D32" s="51" t="s">
        <v>418</v>
      </c>
      <c r="E32" s="43">
        <f>F32</f>
        <v>209404</v>
      </c>
      <c r="F32" s="43">
        <f>209404</f>
        <v>209404</v>
      </c>
      <c r="G32" s="43"/>
      <c r="H32" s="43"/>
      <c r="I32" s="43"/>
      <c r="J32" s="43">
        <f>K32+L32</f>
        <v>92456</v>
      </c>
      <c r="K32" s="43">
        <f>92456</f>
        <v>92456</v>
      </c>
      <c r="L32" s="43"/>
      <c r="M32" s="43"/>
      <c r="N32" s="43"/>
      <c r="O32" s="43">
        <f>K32</f>
        <v>92456</v>
      </c>
      <c r="P32" s="252">
        <f t="shared" si="4"/>
        <v>301860</v>
      </c>
      <c r="Q32" s="39"/>
    </row>
    <row r="33" spans="1:17" s="40" customFormat="1" ht="75" hidden="1">
      <c r="A33" s="253"/>
      <c r="B33" s="41"/>
      <c r="C33" s="41"/>
      <c r="D33" s="51" t="s">
        <v>419</v>
      </c>
      <c r="E33" s="43">
        <f>F33</f>
        <v>199000</v>
      </c>
      <c r="F33" s="43">
        <v>199000</v>
      </c>
      <c r="G33" s="43"/>
      <c r="H33" s="43"/>
      <c r="I33" s="43"/>
      <c r="J33" s="43"/>
      <c r="K33" s="43"/>
      <c r="L33" s="43"/>
      <c r="M33" s="43"/>
      <c r="N33" s="43"/>
      <c r="O33" s="43"/>
      <c r="P33" s="252">
        <f t="shared" si="4"/>
        <v>199000</v>
      </c>
      <c r="Q33" s="39"/>
    </row>
    <row r="34" spans="1:17" s="40" customFormat="1" ht="56.25" hidden="1">
      <c r="A34" s="253"/>
      <c r="B34" s="41"/>
      <c r="C34" s="41"/>
      <c r="D34" s="51" t="s">
        <v>420</v>
      </c>
      <c r="E34" s="43">
        <f>F34</f>
        <v>199000</v>
      </c>
      <c r="F34" s="43">
        <v>199000</v>
      </c>
      <c r="G34" s="43"/>
      <c r="H34" s="43"/>
      <c r="I34" s="43"/>
      <c r="J34" s="43"/>
      <c r="K34" s="43"/>
      <c r="L34" s="43"/>
      <c r="M34" s="43"/>
      <c r="N34" s="43"/>
      <c r="O34" s="43"/>
      <c r="P34" s="252">
        <f t="shared" si="4"/>
        <v>199000</v>
      </c>
      <c r="Q34" s="39"/>
    </row>
    <row r="35" spans="1:17" s="40" customFormat="1" ht="120.75" customHeight="1" hidden="1">
      <c r="A35" s="253"/>
      <c r="B35" s="41"/>
      <c r="C35" s="41"/>
      <c r="D35" s="51" t="s">
        <v>254</v>
      </c>
      <c r="E35" s="43">
        <f>F35</f>
        <v>212017</v>
      </c>
      <c r="F35" s="43">
        <f>212017+168455-168455</f>
        <v>212017</v>
      </c>
      <c r="G35" s="43"/>
      <c r="H35" s="43"/>
      <c r="I35" s="43"/>
      <c r="J35" s="43"/>
      <c r="K35" s="43"/>
      <c r="L35" s="43"/>
      <c r="M35" s="43"/>
      <c r="N35" s="43"/>
      <c r="O35" s="43"/>
      <c r="P35" s="252">
        <f t="shared" si="4"/>
        <v>212017</v>
      </c>
      <c r="Q35" s="39"/>
    </row>
    <row r="36" spans="1:17" s="40" customFormat="1" ht="93.75" hidden="1">
      <c r="A36" s="253"/>
      <c r="B36" s="41"/>
      <c r="C36" s="41"/>
      <c r="D36" s="51" t="s">
        <v>345</v>
      </c>
      <c r="E36" s="43"/>
      <c r="F36" s="43"/>
      <c r="G36" s="43"/>
      <c r="H36" s="43"/>
      <c r="I36" s="43"/>
      <c r="J36" s="43">
        <f>O36+L36</f>
        <v>1984558</v>
      </c>
      <c r="K36" s="43">
        <f>43078+1541480+400000</f>
        <v>1984558</v>
      </c>
      <c r="L36" s="43"/>
      <c r="M36" s="43"/>
      <c r="N36" s="43"/>
      <c r="O36" s="43">
        <f>K36</f>
        <v>1984558</v>
      </c>
      <c r="P36" s="252">
        <f t="shared" si="4"/>
        <v>1984558</v>
      </c>
      <c r="Q36" s="39"/>
    </row>
    <row r="37" spans="1:17" s="40" customFormat="1" ht="37.5" hidden="1">
      <c r="A37" s="253" t="s">
        <v>421</v>
      </c>
      <c r="B37" s="41" t="s">
        <v>422</v>
      </c>
      <c r="C37" s="41"/>
      <c r="D37" s="44" t="s">
        <v>423</v>
      </c>
      <c r="E37" s="43">
        <f>E38</f>
        <v>3000</v>
      </c>
      <c r="F37" s="43">
        <f>F38</f>
        <v>3000</v>
      </c>
      <c r="G37" s="43"/>
      <c r="H37" s="43"/>
      <c r="I37" s="43"/>
      <c r="J37" s="43"/>
      <c r="K37" s="43"/>
      <c r="L37" s="43"/>
      <c r="M37" s="43"/>
      <c r="N37" s="43"/>
      <c r="O37" s="43"/>
      <c r="P37" s="252">
        <f t="shared" si="4"/>
        <v>3000</v>
      </c>
      <c r="Q37" s="39"/>
    </row>
    <row r="38" spans="1:17" s="40" customFormat="1" ht="37.5">
      <c r="A38" s="253" t="s">
        <v>424</v>
      </c>
      <c r="B38" s="41" t="s">
        <v>425</v>
      </c>
      <c r="C38" s="52" t="s">
        <v>426</v>
      </c>
      <c r="D38" s="42" t="s">
        <v>427</v>
      </c>
      <c r="E38" s="43">
        <f>F38</f>
        <v>3000</v>
      </c>
      <c r="F38" s="43">
        <v>3000</v>
      </c>
      <c r="G38" s="38"/>
      <c r="H38" s="38"/>
      <c r="I38" s="38"/>
      <c r="J38" s="38"/>
      <c r="K38" s="38"/>
      <c r="L38" s="38"/>
      <c r="M38" s="38"/>
      <c r="N38" s="38"/>
      <c r="O38" s="38"/>
      <c r="P38" s="252">
        <f t="shared" si="4"/>
        <v>3000</v>
      </c>
      <c r="Q38" s="39"/>
    </row>
    <row r="39" spans="1:17" s="40" customFormat="1" ht="20.25" customHeight="1" hidden="1">
      <c r="A39" s="253" t="s">
        <v>428</v>
      </c>
      <c r="B39" s="41" t="s">
        <v>429</v>
      </c>
      <c r="C39" s="52"/>
      <c r="D39" s="42" t="s">
        <v>430</v>
      </c>
      <c r="E39" s="43">
        <f>E40</f>
        <v>102000</v>
      </c>
      <c r="F39" s="43">
        <f aca="true" t="shared" si="7" ref="F39:O39">F40</f>
        <v>102000</v>
      </c>
      <c r="G39" s="43">
        <f t="shared" si="7"/>
        <v>0</v>
      </c>
      <c r="H39" s="43">
        <f t="shared" si="7"/>
        <v>0</v>
      </c>
      <c r="I39" s="43">
        <f t="shared" si="7"/>
        <v>0</v>
      </c>
      <c r="J39" s="43">
        <f t="shared" si="7"/>
        <v>0</v>
      </c>
      <c r="K39" s="43">
        <f t="shared" si="7"/>
        <v>0</v>
      </c>
      <c r="L39" s="43">
        <f t="shared" si="7"/>
        <v>0</v>
      </c>
      <c r="M39" s="43">
        <f t="shared" si="7"/>
        <v>0</v>
      </c>
      <c r="N39" s="43">
        <f t="shared" si="7"/>
        <v>0</v>
      </c>
      <c r="O39" s="43">
        <f t="shared" si="7"/>
        <v>0</v>
      </c>
      <c r="P39" s="252">
        <f t="shared" si="4"/>
        <v>102000</v>
      </c>
      <c r="Q39" s="39"/>
    </row>
    <row r="40" spans="1:16" s="54" customFormat="1" ht="37.5">
      <c r="A40" s="253" t="s">
        <v>431</v>
      </c>
      <c r="B40" s="41" t="s">
        <v>432</v>
      </c>
      <c r="C40" s="41" t="s">
        <v>433</v>
      </c>
      <c r="D40" s="44" t="s">
        <v>434</v>
      </c>
      <c r="E40" s="43">
        <f>F40</f>
        <v>102000</v>
      </c>
      <c r="F40" s="43">
        <f>96000+6000</f>
        <v>102000</v>
      </c>
      <c r="G40" s="53"/>
      <c r="H40" s="53"/>
      <c r="I40" s="53"/>
      <c r="J40" s="53"/>
      <c r="K40" s="53"/>
      <c r="L40" s="53"/>
      <c r="M40" s="53"/>
      <c r="N40" s="53"/>
      <c r="O40" s="53"/>
      <c r="P40" s="252">
        <f t="shared" si="4"/>
        <v>102000</v>
      </c>
    </row>
    <row r="41" spans="1:16" s="40" customFormat="1" ht="18.75" hidden="1">
      <c r="A41" s="253" t="s">
        <v>435</v>
      </c>
      <c r="B41" s="41" t="s">
        <v>436</v>
      </c>
      <c r="C41" s="41"/>
      <c r="D41" s="44" t="s">
        <v>437</v>
      </c>
      <c r="E41" s="43">
        <f>E43</f>
        <v>586000</v>
      </c>
      <c r="F41" s="43">
        <f aca="true" t="shared" si="8" ref="F41:O41">F43</f>
        <v>586000</v>
      </c>
      <c r="G41" s="43">
        <f t="shared" si="8"/>
        <v>0</v>
      </c>
      <c r="H41" s="43">
        <f t="shared" si="8"/>
        <v>0</v>
      </c>
      <c r="I41" s="43">
        <f t="shared" si="8"/>
        <v>0</v>
      </c>
      <c r="J41" s="43">
        <f t="shared" si="8"/>
        <v>0</v>
      </c>
      <c r="K41" s="43">
        <f t="shared" si="8"/>
        <v>0</v>
      </c>
      <c r="L41" s="43">
        <f t="shared" si="8"/>
        <v>0</v>
      </c>
      <c r="M41" s="43">
        <f t="shared" si="8"/>
        <v>0</v>
      </c>
      <c r="N41" s="43">
        <f t="shared" si="8"/>
        <v>0</v>
      </c>
      <c r="O41" s="43">
        <f t="shared" si="8"/>
        <v>0</v>
      </c>
      <c r="P41" s="252">
        <f t="shared" si="4"/>
        <v>586000</v>
      </c>
    </row>
    <row r="42" spans="1:16" s="40" customFormat="1" ht="18.75">
      <c r="A42" s="253" t="s">
        <v>48</v>
      </c>
      <c r="B42" s="41" t="s">
        <v>49</v>
      </c>
      <c r="C42" s="41" t="s">
        <v>50</v>
      </c>
      <c r="D42" s="44" t="s">
        <v>51</v>
      </c>
      <c r="E42" s="43">
        <f>F42</f>
        <v>28000</v>
      </c>
      <c r="F42" s="43">
        <f>14000+14000</f>
        <v>28000</v>
      </c>
      <c r="G42" s="43"/>
      <c r="H42" s="43"/>
      <c r="I42" s="43"/>
      <c r="J42" s="43"/>
      <c r="K42" s="43"/>
      <c r="L42" s="43"/>
      <c r="M42" s="43"/>
      <c r="N42" s="43"/>
      <c r="O42" s="43"/>
      <c r="P42" s="252">
        <f t="shared" si="4"/>
        <v>28000</v>
      </c>
    </row>
    <row r="43" spans="1:16" s="40" customFormat="1" ht="37.5">
      <c r="A43" s="253" t="s">
        <v>438</v>
      </c>
      <c r="B43" s="41" t="s">
        <v>439</v>
      </c>
      <c r="C43" s="41" t="s">
        <v>440</v>
      </c>
      <c r="D43" s="76" t="s">
        <v>441</v>
      </c>
      <c r="E43" s="43">
        <f>F43</f>
        <v>586000</v>
      </c>
      <c r="F43" s="43">
        <f>400000+36000+150000</f>
        <v>586000</v>
      </c>
      <c r="G43" s="43"/>
      <c r="H43" s="43"/>
      <c r="I43" s="43"/>
      <c r="J43" s="43"/>
      <c r="K43" s="43"/>
      <c r="L43" s="43"/>
      <c r="M43" s="43"/>
      <c r="N43" s="43"/>
      <c r="O43" s="43"/>
      <c r="P43" s="252">
        <f t="shared" si="4"/>
        <v>586000</v>
      </c>
    </row>
    <row r="44" spans="1:19" s="40" customFormat="1" ht="56.25">
      <c r="A44" s="253" t="s">
        <v>442</v>
      </c>
      <c r="B44" s="41" t="s">
        <v>443</v>
      </c>
      <c r="C44" s="41" t="s">
        <v>444</v>
      </c>
      <c r="D44" s="44" t="s">
        <v>445</v>
      </c>
      <c r="E44" s="43">
        <f>F44</f>
        <v>2304005</v>
      </c>
      <c r="F44" s="43">
        <f>108677+1053843+141485+1000000</f>
        <v>2304005</v>
      </c>
      <c r="G44" s="43"/>
      <c r="H44" s="43"/>
      <c r="I44" s="43"/>
      <c r="J44" s="43">
        <f>L44+O44</f>
        <v>612727</v>
      </c>
      <c r="K44" s="43">
        <f>932088+292471+292010-903842</f>
        <v>612727</v>
      </c>
      <c r="L44" s="43"/>
      <c r="M44" s="43"/>
      <c r="N44" s="43"/>
      <c r="O44" s="43">
        <f>K44</f>
        <v>612727</v>
      </c>
      <c r="P44" s="252">
        <f t="shared" si="4"/>
        <v>2916732</v>
      </c>
      <c r="Q44" s="39"/>
      <c r="R44" s="39"/>
      <c r="S44" s="39"/>
    </row>
    <row r="45" spans="1:16" s="40" customFormat="1" ht="37.5">
      <c r="A45" s="253" t="s">
        <v>446</v>
      </c>
      <c r="B45" s="41" t="s">
        <v>447</v>
      </c>
      <c r="C45" s="41" t="s">
        <v>444</v>
      </c>
      <c r="D45" s="44" t="s">
        <v>448</v>
      </c>
      <c r="E45" s="43">
        <f>F45</f>
        <v>1929703</v>
      </c>
      <c r="F45" s="43">
        <f>1929703</f>
        <v>1929703</v>
      </c>
      <c r="G45" s="43"/>
      <c r="H45" s="43"/>
      <c r="I45" s="43"/>
      <c r="J45" s="43">
        <f>L45+O45</f>
        <v>408830</v>
      </c>
      <c r="K45" s="43">
        <v>408830</v>
      </c>
      <c r="L45" s="43"/>
      <c r="M45" s="43"/>
      <c r="N45" s="43"/>
      <c r="O45" s="43">
        <f>K45</f>
        <v>408830</v>
      </c>
      <c r="P45" s="252">
        <f t="shared" si="4"/>
        <v>2338533</v>
      </c>
    </row>
    <row r="46" spans="1:16" s="40" customFormat="1" ht="39.75" customHeight="1">
      <c r="A46" s="253" t="s">
        <v>449</v>
      </c>
      <c r="B46" s="41" t="s">
        <v>450</v>
      </c>
      <c r="C46" s="41" t="s">
        <v>444</v>
      </c>
      <c r="D46" s="44" t="s">
        <v>451</v>
      </c>
      <c r="E46" s="43">
        <f>F46</f>
        <v>735998</v>
      </c>
      <c r="F46" s="43">
        <f>467493+268505</f>
        <v>735998</v>
      </c>
      <c r="G46" s="43"/>
      <c r="H46" s="43"/>
      <c r="I46" s="43"/>
      <c r="J46" s="43"/>
      <c r="K46" s="43"/>
      <c r="L46" s="43"/>
      <c r="M46" s="43"/>
      <c r="N46" s="43"/>
      <c r="O46" s="43"/>
      <c r="P46" s="252">
        <f t="shared" si="4"/>
        <v>735998</v>
      </c>
    </row>
    <row r="47" spans="1:16" s="40" customFormat="1" ht="42.75" customHeight="1">
      <c r="A47" s="253" t="s">
        <v>452</v>
      </c>
      <c r="B47" s="41" t="s">
        <v>453</v>
      </c>
      <c r="C47" s="41" t="s">
        <v>444</v>
      </c>
      <c r="D47" s="44" t="s">
        <v>454</v>
      </c>
      <c r="E47" s="43"/>
      <c r="F47" s="43"/>
      <c r="G47" s="43"/>
      <c r="H47" s="43"/>
      <c r="I47" s="43"/>
      <c r="J47" s="43">
        <f>K47+L47</f>
        <v>590729</v>
      </c>
      <c r="K47" s="43">
        <f>131203+400000+59526</f>
        <v>590729</v>
      </c>
      <c r="L47" s="43"/>
      <c r="M47" s="43"/>
      <c r="N47" s="43"/>
      <c r="O47" s="43">
        <f>K47</f>
        <v>590729</v>
      </c>
      <c r="P47" s="252">
        <f t="shared" si="4"/>
        <v>590729</v>
      </c>
    </row>
    <row r="48" spans="1:16" s="40" customFormat="1" ht="56.25">
      <c r="A48" s="253" t="s">
        <v>455</v>
      </c>
      <c r="B48" s="41" t="s">
        <v>456</v>
      </c>
      <c r="C48" s="41" t="s">
        <v>444</v>
      </c>
      <c r="D48" s="44" t="s">
        <v>457</v>
      </c>
      <c r="E48" s="43">
        <f>F48</f>
        <v>1700000</v>
      </c>
      <c r="F48" s="43">
        <f>800000+400000+500000</f>
        <v>1700000</v>
      </c>
      <c r="G48" s="43"/>
      <c r="H48" s="43"/>
      <c r="I48" s="43"/>
      <c r="J48" s="43"/>
      <c r="K48" s="43"/>
      <c r="L48" s="43"/>
      <c r="M48" s="43"/>
      <c r="N48" s="43"/>
      <c r="O48" s="43"/>
      <c r="P48" s="252">
        <f t="shared" si="4"/>
        <v>1700000</v>
      </c>
    </row>
    <row r="49" spans="1:16" s="40" customFormat="1" ht="82.5" customHeight="1">
      <c r="A49" s="253" t="s">
        <v>458</v>
      </c>
      <c r="B49" s="41" t="s">
        <v>459</v>
      </c>
      <c r="C49" s="41" t="s">
        <v>444</v>
      </c>
      <c r="D49" s="44" t="s">
        <v>460</v>
      </c>
      <c r="E49" s="43">
        <f>F49</f>
        <v>950000</v>
      </c>
      <c r="F49" s="43">
        <f>900000+50000</f>
        <v>950000</v>
      </c>
      <c r="G49" s="43"/>
      <c r="H49" s="43"/>
      <c r="I49" s="43"/>
      <c r="J49" s="43"/>
      <c r="K49" s="43"/>
      <c r="L49" s="43"/>
      <c r="M49" s="43"/>
      <c r="N49" s="43"/>
      <c r="O49" s="43"/>
      <c r="P49" s="252">
        <f t="shared" si="4"/>
        <v>950000</v>
      </c>
    </row>
    <row r="50" spans="1:16" s="40" customFormat="1" ht="18.75">
      <c r="A50" s="253" t="s">
        <v>461</v>
      </c>
      <c r="B50" s="41" t="s">
        <v>462</v>
      </c>
      <c r="C50" s="41" t="s">
        <v>444</v>
      </c>
      <c r="D50" s="44" t="s">
        <v>463</v>
      </c>
      <c r="E50" s="43">
        <f>F50</f>
        <v>22020087</v>
      </c>
      <c r="F50" s="43">
        <f>18386200+420000+150000+1500000+250000+195000+114713+100000+199000+6600+199000+199574+300000</f>
        <v>22020087</v>
      </c>
      <c r="G50" s="43"/>
      <c r="H50" s="43"/>
      <c r="I50" s="43"/>
      <c r="J50" s="43">
        <f>L50+O50</f>
        <v>406500</v>
      </c>
      <c r="K50" s="43">
        <f>180000+60000+166500</f>
        <v>406500</v>
      </c>
      <c r="L50" s="43"/>
      <c r="M50" s="43"/>
      <c r="N50" s="43"/>
      <c r="O50" s="43">
        <f>K50</f>
        <v>406500</v>
      </c>
      <c r="P50" s="252">
        <f t="shared" si="4"/>
        <v>22426587</v>
      </c>
    </row>
    <row r="51" spans="1:16" s="40" customFormat="1" ht="37.5" hidden="1">
      <c r="A51" s="253" t="s">
        <v>464</v>
      </c>
      <c r="B51" s="41" t="s">
        <v>465</v>
      </c>
      <c r="C51" s="41"/>
      <c r="D51" s="44" t="s">
        <v>466</v>
      </c>
      <c r="E51" s="43"/>
      <c r="F51" s="43"/>
      <c r="G51" s="43"/>
      <c r="H51" s="43"/>
      <c r="I51" s="43"/>
      <c r="J51" s="43"/>
      <c r="K51" s="43"/>
      <c r="L51" s="43"/>
      <c r="M51" s="43"/>
      <c r="N51" s="43"/>
      <c r="O51" s="43"/>
      <c r="P51" s="252">
        <f t="shared" si="4"/>
        <v>0</v>
      </c>
    </row>
    <row r="52" spans="1:16" s="40" customFormat="1" ht="37.5" hidden="1">
      <c r="A52" s="253" t="s">
        <v>467</v>
      </c>
      <c r="B52" s="41" t="s">
        <v>468</v>
      </c>
      <c r="C52" s="41" t="s">
        <v>444</v>
      </c>
      <c r="D52" s="44" t="s">
        <v>469</v>
      </c>
      <c r="E52" s="43"/>
      <c r="F52" s="43"/>
      <c r="G52" s="43"/>
      <c r="H52" s="43"/>
      <c r="I52" s="43"/>
      <c r="J52" s="43"/>
      <c r="K52" s="43"/>
      <c r="L52" s="43"/>
      <c r="M52" s="43"/>
      <c r="N52" s="43"/>
      <c r="O52" s="43"/>
      <c r="P52" s="252">
        <f t="shared" si="4"/>
        <v>0</v>
      </c>
    </row>
    <row r="53" spans="1:16" s="40" customFormat="1" ht="131.25">
      <c r="A53" s="253" t="s">
        <v>239</v>
      </c>
      <c r="B53" s="41" t="s">
        <v>240</v>
      </c>
      <c r="C53" s="41" t="s">
        <v>472</v>
      </c>
      <c r="D53" s="44" t="s">
        <v>241</v>
      </c>
      <c r="E53" s="43">
        <f>F53</f>
        <v>655782</v>
      </c>
      <c r="F53" s="43">
        <v>655782</v>
      </c>
      <c r="G53" s="43"/>
      <c r="H53" s="43"/>
      <c r="I53" s="43"/>
      <c r="J53" s="43"/>
      <c r="K53" s="43"/>
      <c r="L53" s="43"/>
      <c r="M53" s="43"/>
      <c r="N53" s="43"/>
      <c r="O53" s="43"/>
      <c r="P53" s="252">
        <f t="shared" si="4"/>
        <v>655782</v>
      </c>
    </row>
    <row r="54" spans="1:16" s="40" customFormat="1" ht="37.5">
      <c r="A54" s="253" t="s">
        <v>470</v>
      </c>
      <c r="B54" s="41" t="s">
        <v>471</v>
      </c>
      <c r="C54" s="41" t="s">
        <v>472</v>
      </c>
      <c r="D54" s="55" t="s">
        <v>473</v>
      </c>
      <c r="E54" s="43">
        <f>F54</f>
        <v>236700</v>
      </c>
      <c r="F54" s="43">
        <f>220000+16700</f>
        <v>236700</v>
      </c>
      <c r="G54" s="43"/>
      <c r="H54" s="43"/>
      <c r="I54" s="43"/>
      <c r="J54" s="43"/>
      <c r="K54" s="43"/>
      <c r="L54" s="43"/>
      <c r="M54" s="43"/>
      <c r="N54" s="43"/>
      <c r="O54" s="43"/>
      <c r="P54" s="252">
        <f t="shared" si="4"/>
        <v>236700</v>
      </c>
    </row>
    <row r="55" spans="1:16" s="40" customFormat="1" ht="18.75">
      <c r="A55" s="253" t="s">
        <v>474</v>
      </c>
      <c r="B55" s="41" t="s">
        <v>475</v>
      </c>
      <c r="C55" s="41" t="s">
        <v>476</v>
      </c>
      <c r="D55" s="44" t="s">
        <v>477</v>
      </c>
      <c r="E55" s="43">
        <f>F55</f>
        <v>142777</v>
      </c>
      <c r="F55" s="43">
        <f>100000+42777</f>
        <v>142777</v>
      </c>
      <c r="G55" s="43"/>
      <c r="H55" s="43"/>
      <c r="I55" s="43"/>
      <c r="J55" s="43"/>
      <c r="K55" s="43"/>
      <c r="L55" s="43"/>
      <c r="M55" s="43"/>
      <c r="N55" s="43"/>
      <c r="O55" s="43"/>
      <c r="P55" s="252">
        <f t="shared" si="4"/>
        <v>142777</v>
      </c>
    </row>
    <row r="56" spans="1:16" s="40" customFormat="1" ht="37.5">
      <c r="A56" s="253" t="s">
        <v>18</v>
      </c>
      <c r="B56" s="41" t="s">
        <v>19</v>
      </c>
      <c r="C56" s="41" t="s">
        <v>480</v>
      </c>
      <c r="D56" s="44" t="s">
        <v>20</v>
      </c>
      <c r="E56" s="43"/>
      <c r="F56" s="43"/>
      <c r="G56" s="43"/>
      <c r="H56" s="43"/>
      <c r="I56" s="43"/>
      <c r="J56" s="43">
        <f>O56+L56</f>
        <v>3053607</v>
      </c>
      <c r="K56" s="43">
        <f>63327+143068+1443370+1403842</f>
        <v>3053607</v>
      </c>
      <c r="L56" s="43"/>
      <c r="M56" s="43"/>
      <c r="N56" s="43"/>
      <c r="O56" s="43">
        <f>K56</f>
        <v>3053607</v>
      </c>
      <c r="P56" s="252">
        <f t="shared" si="4"/>
        <v>3053607</v>
      </c>
    </row>
    <row r="57" spans="1:17" s="40" customFormat="1" ht="18.75">
      <c r="A57" s="253" t="s">
        <v>478</v>
      </c>
      <c r="B57" s="41" t="s">
        <v>479</v>
      </c>
      <c r="C57" s="41" t="s">
        <v>480</v>
      </c>
      <c r="D57" s="44" t="s">
        <v>481</v>
      </c>
      <c r="E57" s="43"/>
      <c r="F57" s="43"/>
      <c r="G57" s="43"/>
      <c r="H57" s="43"/>
      <c r="I57" s="43"/>
      <c r="J57" s="43">
        <f>O57+L58</f>
        <v>41709</v>
      </c>
      <c r="K57" s="43">
        <v>41709</v>
      </c>
      <c r="L57" s="43"/>
      <c r="M57" s="43"/>
      <c r="N57" s="43"/>
      <c r="O57" s="43">
        <f>K57</f>
        <v>41709</v>
      </c>
      <c r="P57" s="252">
        <f t="shared" si="4"/>
        <v>41709</v>
      </c>
      <c r="Q57" s="39"/>
    </row>
    <row r="58" spans="1:16" s="40" customFormat="1" ht="37.5">
      <c r="A58" s="253" t="s">
        <v>482</v>
      </c>
      <c r="B58" s="41" t="s">
        <v>483</v>
      </c>
      <c r="C58" s="41" t="s">
        <v>480</v>
      </c>
      <c r="D58" s="44" t="s">
        <v>899</v>
      </c>
      <c r="E58" s="43"/>
      <c r="F58" s="43"/>
      <c r="G58" s="43"/>
      <c r="H58" s="43"/>
      <c r="I58" s="43"/>
      <c r="J58" s="43">
        <f>L58+O58</f>
        <v>2415049</v>
      </c>
      <c r="K58" s="43">
        <f>945049+1000000+470000+500000-500000</f>
        <v>2415049</v>
      </c>
      <c r="L58" s="43"/>
      <c r="M58" s="43"/>
      <c r="N58" s="43"/>
      <c r="O58" s="43">
        <f>K58</f>
        <v>2415049</v>
      </c>
      <c r="P58" s="252">
        <f t="shared" si="4"/>
        <v>2415049</v>
      </c>
    </row>
    <row r="59" spans="1:16" s="40" customFormat="1" ht="56.25">
      <c r="A59" s="253" t="s">
        <v>484</v>
      </c>
      <c r="B59" s="41" t="s">
        <v>485</v>
      </c>
      <c r="C59" s="41" t="s">
        <v>486</v>
      </c>
      <c r="D59" s="44" t="s">
        <v>487</v>
      </c>
      <c r="E59" s="43"/>
      <c r="F59" s="43"/>
      <c r="G59" s="43"/>
      <c r="H59" s="43"/>
      <c r="I59" s="43"/>
      <c r="J59" s="43">
        <f>L59+O59</f>
        <v>1383602</v>
      </c>
      <c r="K59" s="43">
        <f>1800000+1050000-500000-550000-416398</f>
        <v>1383602</v>
      </c>
      <c r="L59" s="43"/>
      <c r="M59" s="43"/>
      <c r="N59" s="43"/>
      <c r="O59" s="43">
        <f>K59</f>
        <v>1383602</v>
      </c>
      <c r="P59" s="252">
        <f t="shared" si="4"/>
        <v>1383602</v>
      </c>
    </row>
    <row r="60" spans="1:16" s="40" customFormat="1" ht="76.5" customHeight="1" hidden="1">
      <c r="A60" s="253" t="s">
        <v>103</v>
      </c>
      <c r="B60" s="41" t="s">
        <v>22</v>
      </c>
      <c r="C60" s="41" t="s">
        <v>486</v>
      </c>
      <c r="D60" s="44" t="s">
        <v>23</v>
      </c>
      <c r="E60" s="43"/>
      <c r="F60" s="43"/>
      <c r="G60" s="43"/>
      <c r="H60" s="43"/>
      <c r="I60" s="43"/>
      <c r="J60" s="43"/>
      <c r="K60" s="43"/>
      <c r="L60" s="43"/>
      <c r="M60" s="43"/>
      <c r="N60" s="43"/>
      <c r="O60" s="43">
        <f>K60</f>
        <v>0</v>
      </c>
      <c r="P60" s="252">
        <f t="shared" si="4"/>
        <v>0</v>
      </c>
    </row>
    <row r="61" spans="1:16" s="40" customFormat="1" ht="37.5">
      <c r="A61" s="254" t="s">
        <v>488</v>
      </c>
      <c r="B61" s="45" t="s">
        <v>489</v>
      </c>
      <c r="C61" s="45" t="s">
        <v>490</v>
      </c>
      <c r="D61" s="67" t="s">
        <v>491</v>
      </c>
      <c r="E61" s="43">
        <f>F61</f>
        <v>990048</v>
      </c>
      <c r="F61" s="43">
        <f>500000+90048+400000</f>
        <v>990048</v>
      </c>
      <c r="G61" s="43"/>
      <c r="H61" s="43"/>
      <c r="I61" s="43"/>
      <c r="J61" s="43"/>
      <c r="K61" s="43"/>
      <c r="L61" s="43"/>
      <c r="M61" s="43"/>
      <c r="N61" s="43"/>
      <c r="O61" s="43"/>
      <c r="P61" s="252">
        <f t="shared" si="4"/>
        <v>990048</v>
      </c>
    </row>
    <row r="62" spans="1:16" s="40" customFormat="1" ht="18.75">
      <c r="A62" s="254" t="s">
        <v>304</v>
      </c>
      <c r="B62" s="45" t="s">
        <v>305</v>
      </c>
      <c r="C62" s="45" t="s">
        <v>490</v>
      </c>
      <c r="D62" s="67" t="s">
        <v>306</v>
      </c>
      <c r="E62" s="43">
        <f>F62+I62</f>
        <v>76536</v>
      </c>
      <c r="F62" s="43">
        <f>76536</f>
        <v>76536</v>
      </c>
      <c r="G62" s="43"/>
      <c r="H62" s="43"/>
      <c r="I62" s="43"/>
      <c r="J62" s="43"/>
      <c r="K62" s="43"/>
      <c r="L62" s="43"/>
      <c r="M62" s="43"/>
      <c r="N62" s="43"/>
      <c r="O62" s="43"/>
      <c r="P62" s="252">
        <f t="shared" si="4"/>
        <v>76536</v>
      </c>
    </row>
    <row r="63" spans="1:16" s="40" customFormat="1" ht="56.25">
      <c r="A63" s="253" t="s">
        <v>492</v>
      </c>
      <c r="B63" s="41" t="s">
        <v>493</v>
      </c>
      <c r="C63" s="41" t="s">
        <v>494</v>
      </c>
      <c r="D63" s="44" t="s">
        <v>495</v>
      </c>
      <c r="E63" s="43">
        <f>F63</f>
        <v>5962000</v>
      </c>
      <c r="F63" s="43">
        <f>5860000+102000</f>
        <v>5962000</v>
      </c>
      <c r="G63" s="43"/>
      <c r="H63" s="43"/>
      <c r="I63" s="43"/>
      <c r="J63" s="43">
        <f>L63+O63</f>
        <v>173415</v>
      </c>
      <c r="K63" s="43">
        <f>140000+17532+15883</f>
        <v>173415</v>
      </c>
      <c r="L63" s="43"/>
      <c r="M63" s="43"/>
      <c r="N63" s="43"/>
      <c r="O63" s="43">
        <f>K63</f>
        <v>173415</v>
      </c>
      <c r="P63" s="252">
        <f t="shared" si="4"/>
        <v>6135415</v>
      </c>
    </row>
    <row r="64" spans="1:16" s="40" customFormat="1" ht="37.5" hidden="1">
      <c r="A64" s="253" t="s">
        <v>496</v>
      </c>
      <c r="B64" s="41" t="s">
        <v>497</v>
      </c>
      <c r="C64" s="41" t="s">
        <v>498</v>
      </c>
      <c r="D64" s="56" t="s">
        <v>499</v>
      </c>
      <c r="E64" s="43"/>
      <c r="F64" s="43"/>
      <c r="G64" s="43"/>
      <c r="H64" s="43"/>
      <c r="I64" s="43"/>
      <c r="J64" s="43"/>
      <c r="K64" s="43"/>
      <c r="L64" s="43"/>
      <c r="M64" s="43"/>
      <c r="N64" s="43"/>
      <c r="O64" s="43"/>
      <c r="P64" s="252">
        <f t="shared" si="4"/>
        <v>0</v>
      </c>
    </row>
    <row r="65" spans="1:16" s="40" customFormat="1" ht="37.5">
      <c r="A65" s="253" t="s">
        <v>500</v>
      </c>
      <c r="B65" s="41" t="s">
        <v>501</v>
      </c>
      <c r="C65" s="41" t="s">
        <v>486</v>
      </c>
      <c r="D65" s="56" t="s">
        <v>502</v>
      </c>
      <c r="E65" s="43"/>
      <c r="F65" s="43"/>
      <c r="G65" s="43"/>
      <c r="H65" s="43"/>
      <c r="I65" s="43"/>
      <c r="J65" s="43">
        <f>L65+O65</f>
        <v>10192387</v>
      </c>
      <c r="K65" s="43">
        <f>2280000+1500000+4619880+50000+91126+135897+175000+38925+147100+195300+94990+250000+614169</f>
        <v>10192387</v>
      </c>
      <c r="L65" s="43"/>
      <c r="M65" s="43"/>
      <c r="N65" s="43"/>
      <c r="O65" s="43">
        <f>K65</f>
        <v>10192387</v>
      </c>
      <c r="P65" s="252">
        <f t="shared" si="4"/>
        <v>10192387</v>
      </c>
    </row>
    <row r="66" spans="1:16" s="40" customFormat="1" ht="37.5">
      <c r="A66" s="253" t="s">
        <v>503</v>
      </c>
      <c r="B66" s="41" t="s">
        <v>504</v>
      </c>
      <c r="C66" s="41" t="s">
        <v>486</v>
      </c>
      <c r="D66" s="56" t="s">
        <v>505</v>
      </c>
      <c r="E66" s="43">
        <f>F66</f>
        <v>25799</v>
      </c>
      <c r="F66" s="43">
        <v>25799</v>
      </c>
      <c r="G66" s="43"/>
      <c r="H66" s="43"/>
      <c r="I66" s="43"/>
      <c r="J66" s="43"/>
      <c r="K66" s="43"/>
      <c r="L66" s="43"/>
      <c r="M66" s="43"/>
      <c r="N66" s="43"/>
      <c r="O66" s="43"/>
      <c r="P66" s="252">
        <f t="shared" si="4"/>
        <v>25799</v>
      </c>
    </row>
    <row r="67" spans="1:16" s="40" customFormat="1" ht="18.75" hidden="1">
      <c r="A67" s="253" t="s">
        <v>506</v>
      </c>
      <c r="B67" s="41" t="s">
        <v>507</v>
      </c>
      <c r="C67" s="41"/>
      <c r="D67" s="56" t="s">
        <v>508</v>
      </c>
      <c r="E67" s="43">
        <f>E68</f>
        <v>4244240</v>
      </c>
      <c r="F67" s="43">
        <f aca="true" t="shared" si="9" ref="F67:O67">F68</f>
        <v>4244240</v>
      </c>
      <c r="G67" s="43">
        <f t="shared" si="9"/>
        <v>0</v>
      </c>
      <c r="H67" s="43">
        <f t="shared" si="9"/>
        <v>0</v>
      </c>
      <c r="I67" s="43">
        <f t="shared" si="9"/>
        <v>0</v>
      </c>
      <c r="J67" s="43">
        <f t="shared" si="9"/>
        <v>880951</v>
      </c>
      <c r="K67" s="43">
        <f t="shared" si="9"/>
        <v>880951</v>
      </c>
      <c r="L67" s="43">
        <f t="shared" si="9"/>
        <v>0</v>
      </c>
      <c r="M67" s="43">
        <f t="shared" si="9"/>
        <v>0</v>
      </c>
      <c r="N67" s="43">
        <f t="shared" si="9"/>
        <v>0</v>
      </c>
      <c r="O67" s="43">
        <f t="shared" si="9"/>
        <v>880951</v>
      </c>
      <c r="P67" s="252">
        <f t="shared" si="4"/>
        <v>5125191</v>
      </c>
    </row>
    <row r="68" spans="1:17" s="40" customFormat="1" ht="37.5">
      <c r="A68" s="253" t="s">
        <v>509</v>
      </c>
      <c r="B68" s="41" t="s">
        <v>510</v>
      </c>
      <c r="C68" s="41" t="s">
        <v>486</v>
      </c>
      <c r="D68" s="44" t="s">
        <v>511</v>
      </c>
      <c r="E68" s="43">
        <f>F68</f>
        <v>4244240</v>
      </c>
      <c r="F68" s="43">
        <f>2741541+122100-55000+20686+500000+160000+24447+10891+82505+49980+80340+105000+400000+1750</f>
        <v>4244240</v>
      </c>
      <c r="G68" s="43"/>
      <c r="H68" s="43"/>
      <c r="I68" s="43"/>
      <c r="J68" s="43">
        <f>O68+L68</f>
        <v>880951</v>
      </c>
      <c r="K68" s="43">
        <f>478951-180000+550000+32000</f>
        <v>880951</v>
      </c>
      <c r="L68" s="43"/>
      <c r="M68" s="43"/>
      <c r="N68" s="43"/>
      <c r="O68" s="43">
        <f>K68</f>
        <v>880951</v>
      </c>
      <c r="P68" s="252">
        <f t="shared" si="4"/>
        <v>5125191</v>
      </c>
      <c r="Q68" s="57"/>
    </row>
    <row r="69" spans="1:16" s="40" customFormat="1" ht="37.5" hidden="1">
      <c r="A69" s="253" t="s">
        <v>512</v>
      </c>
      <c r="B69" s="41" t="s">
        <v>513</v>
      </c>
      <c r="C69" s="41" t="s">
        <v>486</v>
      </c>
      <c r="D69" s="44" t="s">
        <v>502</v>
      </c>
      <c r="E69" s="43"/>
      <c r="F69" s="43"/>
      <c r="G69" s="43"/>
      <c r="H69" s="43"/>
      <c r="I69" s="43"/>
      <c r="J69" s="43"/>
      <c r="K69" s="43"/>
      <c r="L69" s="43"/>
      <c r="M69" s="43"/>
      <c r="N69" s="43"/>
      <c r="O69" s="43"/>
      <c r="P69" s="252">
        <f t="shared" si="4"/>
        <v>0</v>
      </c>
    </row>
    <row r="70" spans="1:16" s="40" customFormat="1" ht="37.5" hidden="1">
      <c r="A70" s="253" t="s">
        <v>514</v>
      </c>
      <c r="B70" s="41" t="s">
        <v>515</v>
      </c>
      <c r="C70" s="41" t="s">
        <v>498</v>
      </c>
      <c r="D70" s="44" t="s">
        <v>516</v>
      </c>
      <c r="E70" s="43"/>
      <c r="F70" s="43"/>
      <c r="G70" s="43"/>
      <c r="H70" s="43"/>
      <c r="I70" s="43"/>
      <c r="J70" s="43"/>
      <c r="K70" s="43"/>
      <c r="L70" s="43"/>
      <c r="M70" s="43"/>
      <c r="N70" s="43"/>
      <c r="O70" s="43"/>
      <c r="P70" s="252">
        <f t="shared" si="4"/>
        <v>0</v>
      </c>
    </row>
    <row r="71" spans="1:16" s="40" customFormat="1" ht="37.5">
      <c r="A71" s="253" t="s">
        <v>517</v>
      </c>
      <c r="B71" s="41" t="s">
        <v>518</v>
      </c>
      <c r="C71" s="41" t="s">
        <v>519</v>
      </c>
      <c r="D71" s="58" t="s">
        <v>520</v>
      </c>
      <c r="E71" s="43">
        <f>F71</f>
        <v>1724195</v>
      </c>
      <c r="F71" s="43">
        <f>1724195</f>
        <v>1724195</v>
      </c>
      <c r="G71" s="43"/>
      <c r="H71" s="43"/>
      <c r="I71" s="43"/>
      <c r="J71" s="43"/>
      <c r="K71" s="43"/>
      <c r="L71" s="43"/>
      <c r="M71" s="43"/>
      <c r="N71" s="43"/>
      <c r="O71" s="43"/>
      <c r="P71" s="252">
        <f t="shared" si="4"/>
        <v>1724195</v>
      </c>
    </row>
    <row r="72" spans="1:16" s="40" customFormat="1" ht="37.5">
      <c r="A72" s="253" t="s">
        <v>521</v>
      </c>
      <c r="B72" s="41" t="s">
        <v>522</v>
      </c>
      <c r="C72" s="41" t="s">
        <v>523</v>
      </c>
      <c r="D72" s="55" t="s">
        <v>524</v>
      </c>
      <c r="E72" s="43"/>
      <c r="F72" s="43"/>
      <c r="G72" s="43"/>
      <c r="H72" s="43"/>
      <c r="I72" s="43"/>
      <c r="J72" s="43">
        <f>L72+O72</f>
        <v>703594</v>
      </c>
      <c r="K72" s="43"/>
      <c r="L72" s="43">
        <f>120000+4900+298694</f>
        <v>423594</v>
      </c>
      <c r="M72" s="43"/>
      <c r="N72" s="43"/>
      <c r="O72" s="43">
        <f>280000</f>
        <v>280000</v>
      </c>
      <c r="P72" s="252">
        <f t="shared" si="4"/>
        <v>703594</v>
      </c>
    </row>
    <row r="73" spans="1:16" s="40" customFormat="1" ht="37.5">
      <c r="A73" s="253" t="s">
        <v>525</v>
      </c>
      <c r="B73" s="41" t="s">
        <v>526</v>
      </c>
      <c r="C73" s="41" t="s">
        <v>527</v>
      </c>
      <c r="D73" s="55" t="s">
        <v>528</v>
      </c>
      <c r="E73" s="43">
        <f>F73</f>
        <v>678682</v>
      </c>
      <c r="F73" s="43">
        <v>678682</v>
      </c>
      <c r="G73" s="43"/>
      <c r="H73" s="43"/>
      <c r="I73" s="43"/>
      <c r="J73" s="43"/>
      <c r="K73" s="43"/>
      <c r="L73" s="43"/>
      <c r="M73" s="43"/>
      <c r="N73" s="43"/>
      <c r="O73" s="43"/>
      <c r="P73" s="252">
        <f t="shared" si="4"/>
        <v>678682</v>
      </c>
    </row>
    <row r="74" spans="1:16" s="40" customFormat="1" ht="38.25" thickBot="1">
      <c r="A74" s="255" t="s">
        <v>529</v>
      </c>
      <c r="B74" s="59" t="s">
        <v>530</v>
      </c>
      <c r="C74" s="59" t="s">
        <v>527</v>
      </c>
      <c r="D74" s="60" t="s">
        <v>531</v>
      </c>
      <c r="E74" s="61">
        <f>F74</f>
        <v>1070455</v>
      </c>
      <c r="F74" s="61">
        <f>1034455+36000</f>
        <v>1070455</v>
      </c>
      <c r="G74" s="61"/>
      <c r="H74" s="61"/>
      <c r="I74" s="61"/>
      <c r="J74" s="61"/>
      <c r="K74" s="61"/>
      <c r="L74" s="61"/>
      <c r="M74" s="61"/>
      <c r="N74" s="61"/>
      <c r="O74" s="61"/>
      <c r="P74" s="256">
        <f t="shared" si="4"/>
        <v>1070455</v>
      </c>
    </row>
    <row r="75" spans="1:17" s="40" customFormat="1" ht="37.5">
      <c r="A75" s="257" t="s">
        <v>532</v>
      </c>
      <c r="B75" s="63"/>
      <c r="C75" s="63"/>
      <c r="D75" s="64" t="s">
        <v>533</v>
      </c>
      <c r="E75" s="65">
        <f>E76</f>
        <v>211424030</v>
      </c>
      <c r="F75" s="65">
        <f aca="true" t="shared" si="10" ref="F75:O75">F76</f>
        <v>211424030</v>
      </c>
      <c r="G75" s="65">
        <f t="shared" si="10"/>
        <v>164617506</v>
      </c>
      <c r="H75" s="65">
        <f t="shared" si="10"/>
        <v>29244422</v>
      </c>
      <c r="I75" s="65"/>
      <c r="J75" s="65">
        <f t="shared" si="10"/>
        <v>16084360</v>
      </c>
      <c r="K75" s="65">
        <f t="shared" si="10"/>
        <v>9326387</v>
      </c>
      <c r="L75" s="65">
        <f t="shared" si="10"/>
        <v>6757973</v>
      </c>
      <c r="M75" s="65">
        <f t="shared" si="10"/>
        <v>979636</v>
      </c>
      <c r="N75" s="65">
        <f t="shared" si="10"/>
        <v>28258</v>
      </c>
      <c r="O75" s="65">
        <f t="shared" si="10"/>
        <v>9326387</v>
      </c>
      <c r="P75" s="258">
        <f t="shared" si="4"/>
        <v>227508390</v>
      </c>
      <c r="Q75" s="39"/>
    </row>
    <row r="76" spans="1:16" s="40" customFormat="1" ht="37.5">
      <c r="A76" s="251" t="s">
        <v>534</v>
      </c>
      <c r="B76" s="36"/>
      <c r="C76" s="36"/>
      <c r="D76" s="37" t="s">
        <v>533</v>
      </c>
      <c r="E76" s="38">
        <f>E77+E78+E79+E88+E89+E91+E95+E98+E101+E106+E105+E97</f>
        <v>211424030</v>
      </c>
      <c r="F76" s="38">
        <f aca="true" t="shared" si="11" ref="F76:O76">F77+F78+F79+F88+F89+F91+F95+F98+F101+F106+F105+F97</f>
        <v>211424030</v>
      </c>
      <c r="G76" s="38">
        <f t="shared" si="11"/>
        <v>164617506</v>
      </c>
      <c r="H76" s="38">
        <f t="shared" si="11"/>
        <v>29244422</v>
      </c>
      <c r="I76" s="38"/>
      <c r="J76" s="38">
        <f t="shared" si="11"/>
        <v>16084360</v>
      </c>
      <c r="K76" s="38">
        <f t="shared" si="11"/>
        <v>9326387</v>
      </c>
      <c r="L76" s="38">
        <f t="shared" si="11"/>
        <v>6757973</v>
      </c>
      <c r="M76" s="38">
        <f t="shared" si="11"/>
        <v>979636</v>
      </c>
      <c r="N76" s="38">
        <f t="shared" si="11"/>
        <v>28258</v>
      </c>
      <c r="O76" s="38">
        <f t="shared" si="11"/>
        <v>9326387</v>
      </c>
      <c r="P76" s="252">
        <f t="shared" si="4"/>
        <v>227508390</v>
      </c>
    </row>
    <row r="77" spans="1:16" s="40" customFormat="1" ht="56.25">
      <c r="A77" s="253" t="s">
        <v>535</v>
      </c>
      <c r="B77" s="41" t="s">
        <v>536</v>
      </c>
      <c r="C77" s="41" t="s">
        <v>389</v>
      </c>
      <c r="D77" s="44" t="s">
        <v>537</v>
      </c>
      <c r="E77" s="43">
        <f>F77</f>
        <v>1176456</v>
      </c>
      <c r="F77" s="43">
        <v>1176456</v>
      </c>
      <c r="G77" s="43">
        <v>1105303</v>
      </c>
      <c r="H77" s="43">
        <v>66128</v>
      </c>
      <c r="I77" s="43"/>
      <c r="J77" s="43"/>
      <c r="K77" s="43"/>
      <c r="L77" s="43"/>
      <c r="M77" s="43"/>
      <c r="N77" s="43"/>
      <c r="O77" s="43"/>
      <c r="P77" s="252">
        <f t="shared" si="4"/>
        <v>1176456</v>
      </c>
    </row>
    <row r="78" spans="1:37" s="40" customFormat="1" ht="18.75">
      <c r="A78" s="253" t="s">
        <v>538</v>
      </c>
      <c r="B78" s="41" t="s">
        <v>539</v>
      </c>
      <c r="C78" s="41" t="s">
        <v>540</v>
      </c>
      <c r="D78" s="44" t="s">
        <v>541</v>
      </c>
      <c r="E78" s="43">
        <f>F78</f>
        <v>66304959</v>
      </c>
      <c r="F78" s="43">
        <f>26086+18225+3530513+526247+155717+7760+G78+H78-135366+110049+78438</f>
        <v>66304959</v>
      </c>
      <c r="G78" s="43">
        <v>50130927</v>
      </c>
      <c r="H78" s="43">
        <f>11720997+135366</f>
        <v>11856363</v>
      </c>
      <c r="I78" s="43"/>
      <c r="J78" s="43">
        <f>L78+O78</f>
        <v>6915202</v>
      </c>
      <c r="K78" s="43">
        <f>413740+320000+7078+299720+400000+716782+13544</f>
        <v>2170864</v>
      </c>
      <c r="L78" s="43">
        <v>4744338</v>
      </c>
      <c r="M78" s="43"/>
      <c r="N78" s="43"/>
      <c r="O78" s="43">
        <f>K78</f>
        <v>2170864</v>
      </c>
      <c r="P78" s="252">
        <f t="shared" si="4"/>
        <v>73220161</v>
      </c>
      <c r="Q78" s="39"/>
      <c r="R78" s="39"/>
      <c r="S78" s="39"/>
      <c r="T78" s="39"/>
      <c r="U78" s="39"/>
      <c r="V78" s="39"/>
      <c r="W78" s="39"/>
      <c r="X78" s="39"/>
      <c r="Y78" s="39"/>
      <c r="Z78" s="39"/>
      <c r="AA78" s="39"/>
      <c r="AB78" s="39"/>
      <c r="AC78" s="39"/>
      <c r="AD78" s="39"/>
      <c r="AE78" s="39"/>
      <c r="AF78" s="39"/>
      <c r="AG78" s="39"/>
      <c r="AH78" s="39"/>
      <c r="AI78" s="39"/>
      <c r="AJ78" s="39"/>
      <c r="AK78" s="39"/>
    </row>
    <row r="79" spans="1:17" s="40" customFormat="1" ht="93.75">
      <c r="A79" s="253" t="s">
        <v>542</v>
      </c>
      <c r="B79" s="41" t="s">
        <v>543</v>
      </c>
      <c r="C79" s="41" t="s">
        <v>544</v>
      </c>
      <c r="D79" s="42" t="s">
        <v>545</v>
      </c>
      <c r="E79" s="43">
        <f>E81+E87+E84+E86+E82+E83</f>
        <v>131367479</v>
      </c>
      <c r="F79" s="43">
        <f>F81+F87+F84+F86+F82+F83+F85</f>
        <v>131367479</v>
      </c>
      <c r="G79" s="43">
        <f aca="true" t="shared" si="12" ref="G79:O79">G81+G87+G84+G86+G82+G83+G85</f>
        <v>102315412</v>
      </c>
      <c r="H79" s="43">
        <f t="shared" si="12"/>
        <v>16359305</v>
      </c>
      <c r="I79" s="43"/>
      <c r="J79" s="43">
        <f t="shared" si="12"/>
        <v>6961979</v>
      </c>
      <c r="K79" s="43">
        <f t="shared" si="12"/>
        <v>4948344</v>
      </c>
      <c r="L79" s="43">
        <f t="shared" si="12"/>
        <v>2013635</v>
      </c>
      <c r="M79" s="43">
        <f t="shared" si="12"/>
        <v>979636</v>
      </c>
      <c r="N79" s="43">
        <f t="shared" si="12"/>
        <v>28258</v>
      </c>
      <c r="O79" s="43">
        <f t="shared" si="12"/>
        <v>4948344</v>
      </c>
      <c r="P79" s="252">
        <f t="shared" si="4"/>
        <v>138329458</v>
      </c>
      <c r="Q79" s="39"/>
    </row>
    <row r="80" spans="1:16" s="40" customFormat="1" ht="18.75" hidden="1">
      <c r="A80" s="253"/>
      <c r="B80" s="41"/>
      <c r="C80" s="41"/>
      <c r="D80" s="66" t="s">
        <v>391</v>
      </c>
      <c r="E80" s="43"/>
      <c r="F80" s="43"/>
      <c r="G80" s="43"/>
      <c r="H80" s="43"/>
      <c r="I80" s="43"/>
      <c r="J80" s="43"/>
      <c r="K80" s="43"/>
      <c r="L80" s="43"/>
      <c r="M80" s="43"/>
      <c r="N80" s="43"/>
      <c r="O80" s="43"/>
      <c r="P80" s="252"/>
    </row>
    <row r="81" spans="1:16" s="40" customFormat="1" ht="23.25" customHeight="1" hidden="1">
      <c r="A81" s="253"/>
      <c r="B81" s="41"/>
      <c r="C81" s="41"/>
      <c r="D81" s="67" t="s">
        <v>546</v>
      </c>
      <c r="E81" s="43">
        <f>F81</f>
        <v>79244400</v>
      </c>
      <c r="F81" s="43">
        <v>79244400</v>
      </c>
      <c r="G81" s="43">
        <v>79244400</v>
      </c>
      <c r="H81" s="43"/>
      <c r="I81" s="43"/>
      <c r="J81" s="43"/>
      <c r="K81" s="43"/>
      <c r="L81" s="43"/>
      <c r="M81" s="43"/>
      <c r="N81" s="43"/>
      <c r="O81" s="43"/>
      <c r="P81" s="252">
        <f t="shared" si="4"/>
        <v>79244400</v>
      </c>
    </row>
    <row r="82" spans="1:16" s="40" customFormat="1" ht="23.25" customHeight="1" hidden="1">
      <c r="A82" s="253"/>
      <c r="B82" s="41"/>
      <c r="C82" s="41"/>
      <c r="D82" s="67" t="s">
        <v>47</v>
      </c>
      <c r="E82" s="43">
        <f>F82</f>
        <v>83748</v>
      </c>
      <c r="F82" s="43">
        <v>83748</v>
      </c>
      <c r="G82" s="43"/>
      <c r="H82" s="43"/>
      <c r="I82" s="43"/>
      <c r="J82" s="43">
        <f>O82+L82</f>
        <v>1106922</v>
      </c>
      <c r="K82" s="43">
        <f>1106922</f>
        <v>1106922</v>
      </c>
      <c r="L82" s="43"/>
      <c r="M82" s="43"/>
      <c r="N82" s="43"/>
      <c r="O82" s="43">
        <f aca="true" t="shared" si="13" ref="O82:O87">K82</f>
        <v>1106922</v>
      </c>
      <c r="P82" s="252">
        <f t="shared" si="4"/>
        <v>1190670</v>
      </c>
    </row>
    <row r="83" spans="1:16" s="40" customFormat="1" ht="93.75" hidden="1">
      <c r="A83" s="253"/>
      <c r="B83" s="41"/>
      <c r="C83" s="41"/>
      <c r="D83" s="67" t="s">
        <v>245</v>
      </c>
      <c r="E83" s="43">
        <f>F83</f>
        <v>1010912</v>
      </c>
      <c r="F83" s="43">
        <f>1010912</f>
        <v>1010912</v>
      </c>
      <c r="G83" s="43"/>
      <c r="H83" s="43"/>
      <c r="I83" s="43"/>
      <c r="J83" s="43">
        <f>L83+O83</f>
        <v>290480</v>
      </c>
      <c r="K83" s="43">
        <f>289512+968</f>
        <v>290480</v>
      </c>
      <c r="L83" s="43"/>
      <c r="M83" s="43"/>
      <c r="N83" s="43"/>
      <c r="O83" s="43">
        <f t="shared" si="13"/>
        <v>290480</v>
      </c>
      <c r="P83" s="252">
        <f t="shared" si="4"/>
        <v>1301392</v>
      </c>
    </row>
    <row r="84" spans="1:16" s="40" customFormat="1" ht="75" hidden="1">
      <c r="A84" s="253"/>
      <c r="B84" s="41"/>
      <c r="C84" s="41"/>
      <c r="D84" s="67" t="s">
        <v>547</v>
      </c>
      <c r="E84" s="43">
        <f>F84</f>
        <v>133133</v>
      </c>
      <c r="F84" s="43">
        <f>211133-78000</f>
        <v>133133</v>
      </c>
      <c r="G84" s="43">
        <v>111273</v>
      </c>
      <c r="H84" s="43"/>
      <c r="I84" s="43"/>
      <c r="J84" s="43">
        <f>L84+O84</f>
        <v>78000</v>
      </c>
      <c r="K84" s="43">
        <f>78000</f>
        <v>78000</v>
      </c>
      <c r="L84" s="43"/>
      <c r="M84" s="43"/>
      <c r="N84" s="43"/>
      <c r="O84" s="43">
        <f t="shared" si="13"/>
        <v>78000</v>
      </c>
      <c r="P84" s="252">
        <f t="shared" si="4"/>
        <v>211133</v>
      </c>
    </row>
    <row r="85" spans="1:16" s="40" customFormat="1" ht="75" hidden="1">
      <c r="A85" s="253"/>
      <c r="B85" s="41"/>
      <c r="C85" s="41"/>
      <c r="D85" s="67" t="s">
        <v>322</v>
      </c>
      <c r="E85" s="43"/>
      <c r="F85" s="43"/>
      <c r="G85" s="43"/>
      <c r="H85" s="43"/>
      <c r="I85" s="43"/>
      <c r="J85" s="43">
        <f>L85+O85</f>
        <v>790594</v>
      </c>
      <c r="K85" s="43">
        <v>790594</v>
      </c>
      <c r="L85" s="43"/>
      <c r="M85" s="43"/>
      <c r="N85" s="43"/>
      <c r="O85" s="43">
        <f t="shared" si="13"/>
        <v>790594</v>
      </c>
      <c r="P85" s="252">
        <f t="shared" si="4"/>
        <v>790594</v>
      </c>
    </row>
    <row r="86" spans="1:16" s="40" customFormat="1" ht="75" hidden="1">
      <c r="A86" s="253"/>
      <c r="B86" s="41"/>
      <c r="C86" s="41"/>
      <c r="D86" s="67" t="s">
        <v>548</v>
      </c>
      <c r="E86" s="43"/>
      <c r="F86" s="43"/>
      <c r="G86" s="43"/>
      <c r="H86" s="43"/>
      <c r="I86" s="43"/>
      <c r="J86" s="43">
        <f>L86+O86</f>
        <v>500000</v>
      </c>
      <c r="K86" s="43">
        <f>500000</f>
        <v>500000</v>
      </c>
      <c r="L86" s="43"/>
      <c r="M86" s="43"/>
      <c r="N86" s="43"/>
      <c r="O86" s="43">
        <f t="shared" si="13"/>
        <v>500000</v>
      </c>
      <c r="P86" s="252">
        <f t="shared" si="4"/>
        <v>500000</v>
      </c>
    </row>
    <row r="87" spans="1:16" s="40" customFormat="1" ht="18.75" hidden="1">
      <c r="A87" s="253"/>
      <c r="B87" s="41"/>
      <c r="C87" s="41"/>
      <c r="D87" s="44" t="s">
        <v>406</v>
      </c>
      <c r="E87" s="43">
        <f>F87</f>
        <v>50895286</v>
      </c>
      <c r="F87" s="43">
        <f>268834+29284+4511867+3889327+292836+41084+G87+H87+211899-140895+57553+158388+174322+109164+655513+592912+84733+13906+26250+300000+90000+9461+199804</f>
        <v>50895286</v>
      </c>
      <c r="G87" s="43">
        <v>22959739</v>
      </c>
      <c r="H87" s="43">
        <f>16218410+140895</f>
        <v>16359305</v>
      </c>
      <c r="I87" s="43"/>
      <c r="J87" s="43">
        <f>L87+O87</f>
        <v>4195983</v>
      </c>
      <c r="K87" s="43">
        <f>482930+120000+586260+153365+400000+85591+32168+91908+20000+180429+186906+23220-180429</f>
        <v>2182348</v>
      </c>
      <c r="L87" s="43">
        <f>6847+991074+7745+M87+N87+75</f>
        <v>2013635</v>
      </c>
      <c r="M87" s="43">
        <f>802980+176656</f>
        <v>979636</v>
      </c>
      <c r="N87" s="43">
        <v>28258</v>
      </c>
      <c r="O87" s="43">
        <f t="shared" si="13"/>
        <v>2182348</v>
      </c>
      <c r="P87" s="252">
        <f t="shared" si="4"/>
        <v>55091269</v>
      </c>
    </row>
    <row r="88" spans="1:16" s="40" customFormat="1" ht="57" customHeight="1">
      <c r="A88" s="253" t="s">
        <v>549</v>
      </c>
      <c r="B88" s="41" t="s">
        <v>440</v>
      </c>
      <c r="C88" s="41" t="s">
        <v>550</v>
      </c>
      <c r="D88" s="44" t="s">
        <v>551</v>
      </c>
      <c r="E88" s="43">
        <f>F88</f>
        <v>5523756</v>
      </c>
      <c r="F88" s="43">
        <f>2514+60753+13917+2598+G88+H88-15510+94364</f>
        <v>5523756</v>
      </c>
      <c r="G88" s="43">
        <f>5052050-146565</f>
        <v>4905485</v>
      </c>
      <c r="H88" s="43">
        <f>444125+15510</f>
        <v>459635</v>
      </c>
      <c r="I88" s="43"/>
      <c r="J88" s="43"/>
      <c r="K88" s="43"/>
      <c r="L88" s="43"/>
      <c r="M88" s="43"/>
      <c r="N88" s="43"/>
      <c r="O88" s="43"/>
      <c r="P88" s="252">
        <f t="shared" si="4"/>
        <v>5523756</v>
      </c>
    </row>
    <row r="89" spans="1:16" s="40" customFormat="1" ht="37.5">
      <c r="A89" s="253" t="s">
        <v>552</v>
      </c>
      <c r="B89" s="41" t="s">
        <v>553</v>
      </c>
      <c r="C89" s="41" t="s">
        <v>554</v>
      </c>
      <c r="D89" s="44" t="s">
        <v>555</v>
      </c>
      <c r="E89" s="43">
        <f>F89</f>
        <v>1311412</v>
      </c>
      <c r="F89" s="43">
        <f>31710+28402+2200+550+G89+H89</f>
        <v>1311412</v>
      </c>
      <c r="G89" s="43">
        <v>1207361</v>
      </c>
      <c r="H89" s="43">
        <v>41189</v>
      </c>
      <c r="I89" s="43"/>
      <c r="J89" s="43"/>
      <c r="K89" s="43"/>
      <c r="L89" s="43"/>
      <c r="M89" s="43"/>
      <c r="N89" s="43"/>
      <c r="O89" s="43"/>
      <c r="P89" s="252">
        <f t="shared" si="4"/>
        <v>1311412</v>
      </c>
    </row>
    <row r="90" spans="1:16" s="40" customFormat="1" ht="37.5" hidden="1">
      <c r="A90" s="253" t="s">
        <v>556</v>
      </c>
      <c r="B90" s="41" t="s">
        <v>557</v>
      </c>
      <c r="C90" s="41"/>
      <c r="D90" s="44" t="s">
        <v>558</v>
      </c>
      <c r="E90" s="43">
        <f>E91+E95</f>
        <v>2259455</v>
      </c>
      <c r="F90" s="43">
        <f aca="true" t="shared" si="14" ref="F90:O90">F91+F95</f>
        <v>2259455</v>
      </c>
      <c r="G90" s="43">
        <f t="shared" si="14"/>
        <v>1994657</v>
      </c>
      <c r="H90" s="43">
        <f t="shared" si="14"/>
        <v>71598</v>
      </c>
      <c r="I90" s="43">
        <f t="shared" si="14"/>
        <v>0</v>
      </c>
      <c r="J90" s="43">
        <f t="shared" si="14"/>
        <v>38200</v>
      </c>
      <c r="K90" s="43">
        <f t="shared" si="14"/>
        <v>38200</v>
      </c>
      <c r="L90" s="43">
        <f t="shared" si="14"/>
        <v>0</v>
      </c>
      <c r="M90" s="43">
        <f t="shared" si="14"/>
        <v>0</v>
      </c>
      <c r="N90" s="43">
        <f t="shared" si="14"/>
        <v>0</v>
      </c>
      <c r="O90" s="43">
        <f t="shared" si="14"/>
        <v>38200</v>
      </c>
      <c r="P90" s="252">
        <f aca="true" t="shared" si="15" ref="P90:P109">E90+J90</f>
        <v>2297655</v>
      </c>
    </row>
    <row r="91" spans="1:16" s="40" customFormat="1" ht="37.5">
      <c r="A91" s="253" t="s">
        <v>559</v>
      </c>
      <c r="B91" s="41" t="s">
        <v>560</v>
      </c>
      <c r="C91" s="41" t="s">
        <v>554</v>
      </c>
      <c r="D91" s="68" t="s">
        <v>561</v>
      </c>
      <c r="E91" s="43">
        <f>F91</f>
        <v>2138485</v>
      </c>
      <c r="F91" s="43">
        <f>F93+F94-4199-237232-28002-928948-36283</f>
        <v>2138485</v>
      </c>
      <c r="G91" s="43">
        <f>G93+G94-237232-28002-928948</f>
        <v>1994657</v>
      </c>
      <c r="H91" s="43">
        <f>H93+H94-4199-36283</f>
        <v>71598</v>
      </c>
      <c r="I91" s="69"/>
      <c r="J91" s="43">
        <f aca="true" t="shared" si="16" ref="J91:O91">J93+J94</f>
        <v>38200</v>
      </c>
      <c r="K91" s="43">
        <f t="shared" si="16"/>
        <v>38200</v>
      </c>
      <c r="L91" s="43"/>
      <c r="M91" s="43"/>
      <c r="N91" s="43"/>
      <c r="O91" s="43">
        <f t="shared" si="16"/>
        <v>38200</v>
      </c>
      <c r="P91" s="252">
        <f t="shared" si="15"/>
        <v>2176685</v>
      </c>
    </row>
    <row r="92" spans="1:16" s="40" customFormat="1" ht="18.75" hidden="1">
      <c r="A92" s="253"/>
      <c r="B92" s="41"/>
      <c r="C92" s="41"/>
      <c r="D92" s="66" t="s">
        <v>391</v>
      </c>
      <c r="E92" s="43"/>
      <c r="F92" s="43"/>
      <c r="G92" s="43"/>
      <c r="H92" s="43"/>
      <c r="I92" s="43"/>
      <c r="J92" s="43"/>
      <c r="K92" s="43"/>
      <c r="L92" s="43"/>
      <c r="M92" s="43"/>
      <c r="N92" s="43"/>
      <c r="O92" s="43"/>
      <c r="P92" s="252">
        <f t="shared" si="15"/>
        <v>0</v>
      </c>
    </row>
    <row r="93" spans="1:16" s="40" customFormat="1" ht="56.25" hidden="1">
      <c r="A93" s="253"/>
      <c r="B93" s="41"/>
      <c r="C93" s="41"/>
      <c r="D93" s="70" t="s">
        <v>562</v>
      </c>
      <c r="E93" s="43">
        <f>F93</f>
        <v>761066</v>
      </c>
      <c r="F93" s="43">
        <f>G93</f>
        <v>761066</v>
      </c>
      <c r="G93" s="43">
        <f>761066</f>
        <v>761066</v>
      </c>
      <c r="H93" s="43"/>
      <c r="I93" s="43"/>
      <c r="J93" s="43"/>
      <c r="K93" s="43"/>
      <c r="L93" s="43"/>
      <c r="M93" s="43"/>
      <c r="N93" s="43"/>
      <c r="O93" s="43"/>
      <c r="P93" s="252">
        <f t="shared" si="15"/>
        <v>761066</v>
      </c>
    </row>
    <row r="94" spans="1:16" s="40" customFormat="1" ht="18.75" hidden="1">
      <c r="A94" s="253"/>
      <c r="B94" s="41"/>
      <c r="C94" s="41"/>
      <c r="D94" s="44" t="s">
        <v>406</v>
      </c>
      <c r="E94" s="43">
        <f>F94</f>
        <v>2612083</v>
      </c>
      <c r="F94" s="43">
        <f>20098+51292+840+G94+H94</f>
        <v>2612083</v>
      </c>
      <c r="G94" s="43">
        <v>2427773</v>
      </c>
      <c r="H94" s="43">
        <v>112080</v>
      </c>
      <c r="I94" s="43"/>
      <c r="J94" s="43">
        <f>O94+L94</f>
        <v>38200</v>
      </c>
      <c r="K94" s="43">
        <f>38200</f>
        <v>38200</v>
      </c>
      <c r="L94" s="43"/>
      <c r="M94" s="43"/>
      <c r="N94" s="43"/>
      <c r="O94" s="43">
        <f>K94</f>
        <v>38200</v>
      </c>
      <c r="P94" s="252">
        <f t="shared" si="15"/>
        <v>2650283</v>
      </c>
    </row>
    <row r="95" spans="1:16" s="40" customFormat="1" ht="18.75">
      <c r="A95" s="253" t="s">
        <v>563</v>
      </c>
      <c r="B95" s="41" t="s">
        <v>564</v>
      </c>
      <c r="C95" s="41" t="s">
        <v>554</v>
      </c>
      <c r="D95" s="44" t="s">
        <v>565</v>
      </c>
      <c r="E95" s="43">
        <f>F95</f>
        <v>120970</v>
      </c>
      <c r="F95" s="43">
        <f>30770+90200</f>
        <v>120970</v>
      </c>
      <c r="G95" s="43"/>
      <c r="H95" s="43"/>
      <c r="I95" s="43"/>
      <c r="J95" s="43"/>
      <c r="K95" s="43"/>
      <c r="L95" s="43"/>
      <c r="M95" s="43"/>
      <c r="N95" s="43"/>
      <c r="O95" s="43"/>
      <c r="P95" s="252">
        <f t="shared" si="15"/>
        <v>120970</v>
      </c>
    </row>
    <row r="96" spans="1:16" s="40" customFormat="1" ht="37.5" hidden="1">
      <c r="A96" s="253" t="s">
        <v>566</v>
      </c>
      <c r="B96" s="41" t="s">
        <v>567</v>
      </c>
      <c r="C96" s="41"/>
      <c r="D96" s="44" t="s">
        <v>568</v>
      </c>
      <c r="E96" s="43">
        <f>E98</f>
        <v>2515282</v>
      </c>
      <c r="F96" s="43">
        <f aca="true" t="shared" si="17" ref="F96:O96">F98</f>
        <v>2515282</v>
      </c>
      <c r="G96" s="43">
        <f t="shared" si="17"/>
        <v>2029413</v>
      </c>
      <c r="H96" s="43">
        <f t="shared" si="17"/>
        <v>353921</v>
      </c>
      <c r="I96" s="43">
        <f t="shared" si="17"/>
        <v>0</v>
      </c>
      <c r="J96" s="43"/>
      <c r="K96" s="43">
        <f t="shared" si="17"/>
        <v>0</v>
      </c>
      <c r="L96" s="43">
        <f t="shared" si="17"/>
        <v>0</v>
      </c>
      <c r="M96" s="43">
        <f t="shared" si="17"/>
        <v>0</v>
      </c>
      <c r="N96" s="43">
        <f t="shared" si="17"/>
        <v>0</v>
      </c>
      <c r="O96" s="43">
        <f t="shared" si="17"/>
        <v>0</v>
      </c>
      <c r="P96" s="252">
        <f t="shared" si="15"/>
        <v>2515282</v>
      </c>
    </row>
    <row r="97" spans="1:16" s="40" customFormat="1" ht="37.5">
      <c r="A97" s="253" t="s">
        <v>104</v>
      </c>
      <c r="B97" s="41" t="s">
        <v>105</v>
      </c>
      <c r="C97" s="41" t="s">
        <v>554</v>
      </c>
      <c r="D97" s="44" t="s">
        <v>106</v>
      </c>
      <c r="E97" s="43">
        <f>965231</f>
        <v>965231</v>
      </c>
      <c r="F97" s="43">
        <f>965231</f>
        <v>965231</v>
      </c>
      <c r="G97" s="43">
        <v>928948</v>
      </c>
      <c r="H97" s="43">
        <v>36283</v>
      </c>
      <c r="I97" s="43"/>
      <c r="J97" s="43"/>
      <c r="K97" s="43"/>
      <c r="L97" s="43"/>
      <c r="M97" s="43"/>
      <c r="N97" s="43"/>
      <c r="O97" s="43"/>
      <c r="P97" s="252">
        <f t="shared" si="15"/>
        <v>965231</v>
      </c>
    </row>
    <row r="98" spans="1:16" s="40" customFormat="1" ht="56.25">
      <c r="A98" s="253" t="s">
        <v>569</v>
      </c>
      <c r="B98" s="41" t="s">
        <v>570</v>
      </c>
      <c r="C98" s="41" t="s">
        <v>571</v>
      </c>
      <c r="D98" s="44" t="s">
        <v>572</v>
      </c>
      <c r="E98" s="43">
        <f>F98</f>
        <v>2515282</v>
      </c>
      <c r="F98" s="43">
        <f>6874+26278+4520+550+G98+H98+60000-6685+40411</f>
        <v>2515282</v>
      </c>
      <c r="G98" s="43">
        <v>2029413</v>
      </c>
      <c r="H98" s="43">
        <f>347236+6685</f>
        <v>353921</v>
      </c>
      <c r="I98" s="43"/>
      <c r="J98" s="43"/>
      <c r="K98" s="43"/>
      <c r="L98" s="43"/>
      <c r="M98" s="43"/>
      <c r="N98" s="43"/>
      <c r="O98" s="43"/>
      <c r="P98" s="252">
        <f t="shared" si="15"/>
        <v>2515282</v>
      </c>
    </row>
    <row r="99" spans="1:16" s="40" customFormat="1" ht="18.75" hidden="1">
      <c r="A99" s="251" t="s">
        <v>573</v>
      </c>
      <c r="B99" s="36" t="s">
        <v>574</v>
      </c>
      <c r="C99" s="36"/>
      <c r="D99" s="37" t="s">
        <v>575</v>
      </c>
      <c r="E99" s="38"/>
      <c r="F99" s="38"/>
      <c r="G99" s="38"/>
      <c r="H99" s="38"/>
      <c r="I99" s="38"/>
      <c r="J99" s="38"/>
      <c r="K99" s="38"/>
      <c r="L99" s="38"/>
      <c r="M99" s="38"/>
      <c r="N99" s="38"/>
      <c r="O99" s="38"/>
      <c r="P99" s="252">
        <f t="shared" si="15"/>
        <v>0</v>
      </c>
    </row>
    <row r="100" spans="1:16" s="40" customFormat="1" ht="37.5" hidden="1">
      <c r="A100" s="253" t="s">
        <v>576</v>
      </c>
      <c r="B100" s="41" t="s">
        <v>577</v>
      </c>
      <c r="C100" s="41" t="s">
        <v>486</v>
      </c>
      <c r="D100" s="55" t="s">
        <v>578</v>
      </c>
      <c r="E100" s="43"/>
      <c r="F100" s="43"/>
      <c r="G100" s="43"/>
      <c r="H100" s="43"/>
      <c r="I100" s="43"/>
      <c r="J100" s="43"/>
      <c r="K100" s="43"/>
      <c r="L100" s="43"/>
      <c r="M100" s="43"/>
      <c r="N100" s="43"/>
      <c r="O100" s="43"/>
      <c r="P100" s="252">
        <f t="shared" si="15"/>
        <v>0</v>
      </c>
    </row>
    <row r="101" spans="1:17" s="40" customFormat="1" ht="18.75">
      <c r="A101" s="253" t="s">
        <v>579</v>
      </c>
      <c r="B101" s="41" t="s">
        <v>580</v>
      </c>
      <c r="C101" s="41" t="s">
        <v>480</v>
      </c>
      <c r="D101" s="55" t="s">
        <v>581</v>
      </c>
      <c r="E101" s="43"/>
      <c r="F101" s="43"/>
      <c r="G101" s="43"/>
      <c r="H101" s="43"/>
      <c r="I101" s="43"/>
      <c r="J101" s="43">
        <f>L101+O101</f>
        <v>92295</v>
      </c>
      <c r="K101" s="43">
        <f>SUM(K103:K104)</f>
        <v>92295</v>
      </c>
      <c r="L101" s="43"/>
      <c r="M101" s="43"/>
      <c r="N101" s="43"/>
      <c r="O101" s="43">
        <f>SUM(O103:O104)</f>
        <v>92295</v>
      </c>
      <c r="P101" s="252">
        <f t="shared" si="15"/>
        <v>92295</v>
      </c>
      <c r="Q101" s="39"/>
    </row>
    <row r="102" spans="1:16" s="40" customFormat="1" ht="18.75" hidden="1">
      <c r="A102" s="253"/>
      <c r="B102" s="41"/>
      <c r="C102" s="41"/>
      <c r="D102" s="55" t="s">
        <v>391</v>
      </c>
      <c r="E102" s="43"/>
      <c r="F102" s="43"/>
      <c r="G102" s="43"/>
      <c r="H102" s="43"/>
      <c r="I102" s="43"/>
      <c r="J102" s="43"/>
      <c r="K102" s="43"/>
      <c r="L102" s="43"/>
      <c r="M102" s="43"/>
      <c r="N102" s="43"/>
      <c r="O102" s="43"/>
      <c r="P102" s="252">
        <f t="shared" si="15"/>
        <v>0</v>
      </c>
    </row>
    <row r="103" spans="1:16" s="40" customFormat="1" ht="75" hidden="1">
      <c r="A103" s="253"/>
      <c r="B103" s="41"/>
      <c r="C103" s="41"/>
      <c r="D103" s="67" t="s">
        <v>548</v>
      </c>
      <c r="E103" s="43"/>
      <c r="F103" s="43"/>
      <c r="G103" s="43"/>
      <c r="H103" s="43"/>
      <c r="I103" s="43"/>
      <c r="J103" s="43">
        <f>L103+O103</f>
        <v>0</v>
      </c>
      <c r="K103" s="43">
        <f>400000-400000</f>
        <v>0</v>
      </c>
      <c r="L103" s="43"/>
      <c r="M103" s="43"/>
      <c r="N103" s="43"/>
      <c r="O103" s="43">
        <f>K103</f>
        <v>0</v>
      </c>
      <c r="P103" s="252">
        <f t="shared" si="15"/>
        <v>0</v>
      </c>
    </row>
    <row r="104" spans="1:16" s="40" customFormat="1" ht="18.75" hidden="1">
      <c r="A104" s="259"/>
      <c r="B104" s="72"/>
      <c r="C104" s="72"/>
      <c r="D104" s="90" t="s">
        <v>406</v>
      </c>
      <c r="E104" s="73"/>
      <c r="F104" s="73"/>
      <c r="G104" s="73"/>
      <c r="H104" s="73"/>
      <c r="I104" s="73"/>
      <c r="J104" s="73">
        <f>L104+O104</f>
        <v>92295</v>
      </c>
      <c r="K104" s="73">
        <f>720022+37820+51235-716782</f>
        <v>92295</v>
      </c>
      <c r="L104" s="73"/>
      <c r="M104" s="73"/>
      <c r="N104" s="73"/>
      <c r="O104" s="73">
        <f>K104</f>
        <v>92295</v>
      </c>
      <c r="P104" s="252">
        <f t="shared" si="15"/>
        <v>92295</v>
      </c>
    </row>
    <row r="105" spans="1:16" s="40" customFormat="1" ht="56.25" hidden="1">
      <c r="A105" s="259" t="s">
        <v>24</v>
      </c>
      <c r="B105" s="72" t="s">
        <v>485</v>
      </c>
      <c r="C105" s="72" t="s">
        <v>486</v>
      </c>
      <c r="D105" s="44" t="s">
        <v>487</v>
      </c>
      <c r="E105" s="73"/>
      <c r="F105" s="73"/>
      <c r="G105" s="73"/>
      <c r="H105" s="73"/>
      <c r="I105" s="73"/>
      <c r="J105" s="73">
        <f>O105+L105</f>
        <v>0</v>
      </c>
      <c r="K105" s="73">
        <f>597771-400000-197771</f>
        <v>0</v>
      </c>
      <c r="L105" s="73"/>
      <c r="M105" s="73"/>
      <c r="N105" s="73"/>
      <c r="O105" s="73">
        <f>K105</f>
        <v>0</v>
      </c>
      <c r="P105" s="252">
        <f t="shared" si="15"/>
        <v>0</v>
      </c>
    </row>
    <row r="106" spans="1:16" s="40" customFormat="1" ht="57" thickBot="1">
      <c r="A106" s="255" t="s">
        <v>21</v>
      </c>
      <c r="B106" s="59" t="s">
        <v>22</v>
      </c>
      <c r="C106" s="59" t="s">
        <v>486</v>
      </c>
      <c r="D106" s="71" t="s">
        <v>23</v>
      </c>
      <c r="E106" s="61"/>
      <c r="F106" s="61"/>
      <c r="G106" s="61"/>
      <c r="H106" s="61"/>
      <c r="I106" s="61"/>
      <c r="J106" s="61">
        <f>L106+O106</f>
        <v>2076684</v>
      </c>
      <c r="K106" s="61">
        <f>74450+2234+2000000</f>
        <v>2076684</v>
      </c>
      <c r="L106" s="61"/>
      <c r="M106" s="61"/>
      <c r="N106" s="61"/>
      <c r="O106" s="61">
        <f>K106</f>
        <v>2076684</v>
      </c>
      <c r="P106" s="256">
        <f t="shared" si="15"/>
        <v>2076684</v>
      </c>
    </row>
    <row r="107" spans="1:16" s="40" customFormat="1" ht="37.5">
      <c r="A107" s="257" t="s">
        <v>582</v>
      </c>
      <c r="B107" s="63"/>
      <c r="C107" s="63"/>
      <c r="D107" s="64" t="s">
        <v>583</v>
      </c>
      <c r="E107" s="65">
        <f>E108</f>
        <v>156511998</v>
      </c>
      <c r="F107" s="65">
        <f aca="true" t="shared" si="18" ref="F107:O107">F108</f>
        <v>156511998</v>
      </c>
      <c r="G107" s="65">
        <f t="shared" si="18"/>
        <v>14263175</v>
      </c>
      <c r="H107" s="65">
        <f t="shared" si="18"/>
        <v>698056</v>
      </c>
      <c r="I107" s="65"/>
      <c r="J107" s="65">
        <f t="shared" si="18"/>
        <v>197430</v>
      </c>
      <c r="K107" s="65">
        <f t="shared" si="18"/>
        <v>152840</v>
      </c>
      <c r="L107" s="65">
        <f t="shared" si="18"/>
        <v>44590</v>
      </c>
      <c r="M107" s="65"/>
      <c r="N107" s="65">
        <f t="shared" si="18"/>
        <v>5948</v>
      </c>
      <c r="O107" s="65">
        <f t="shared" si="18"/>
        <v>152840</v>
      </c>
      <c r="P107" s="258">
        <f t="shared" si="15"/>
        <v>156709428</v>
      </c>
    </row>
    <row r="108" spans="1:16" s="40" customFormat="1" ht="37.5">
      <c r="A108" s="251" t="s">
        <v>584</v>
      </c>
      <c r="B108" s="36"/>
      <c r="C108" s="36"/>
      <c r="D108" s="37" t="s">
        <v>583</v>
      </c>
      <c r="E108" s="38">
        <f>F108+I108</f>
        <v>156511998</v>
      </c>
      <c r="F108" s="38">
        <f>F109+F152+F153+F154+F155+F156+F157+F158+F159+F173+F174+F175+F176+F177+F178+F179+F181+F182+F183+F184+F185+F186+F188+F190+F191+F193+F194+F195+F196+F198+F199+F204+F205+F206+F207+F180+F187+F203</f>
        <v>156511998</v>
      </c>
      <c r="G108" s="38">
        <f aca="true" t="shared" si="19" ref="G108:O108">G109+G152+G153+G154+G155+G156+G157+G158+G159+G173+G174+G175+G176+G177+G178+G179+G181+G182+G183+G184+G185+G186+G188+G190+G191+G193+G194+G195+G196+G198+G199+G204+G205+G206+G207+G180+G187+G203</f>
        <v>14263175</v>
      </c>
      <c r="H108" s="38">
        <f t="shared" si="19"/>
        <v>698056</v>
      </c>
      <c r="I108" s="38"/>
      <c r="J108" s="38">
        <f t="shared" si="19"/>
        <v>197430</v>
      </c>
      <c r="K108" s="38">
        <f t="shared" si="19"/>
        <v>152840</v>
      </c>
      <c r="L108" s="38">
        <f t="shared" si="19"/>
        <v>44590</v>
      </c>
      <c r="M108" s="38"/>
      <c r="N108" s="38">
        <f t="shared" si="19"/>
        <v>5948</v>
      </c>
      <c r="O108" s="38">
        <f t="shared" si="19"/>
        <v>152840</v>
      </c>
      <c r="P108" s="252">
        <f t="shared" si="15"/>
        <v>156709428</v>
      </c>
    </row>
    <row r="109" spans="1:16" s="40" customFormat="1" ht="56.25">
      <c r="A109" s="253" t="s">
        <v>585</v>
      </c>
      <c r="B109" s="41" t="s">
        <v>536</v>
      </c>
      <c r="C109" s="41" t="s">
        <v>389</v>
      </c>
      <c r="D109" s="44" t="s">
        <v>537</v>
      </c>
      <c r="E109" s="43">
        <f>F109</f>
        <v>9364586</v>
      </c>
      <c r="F109" s="43">
        <f>9364586</f>
        <v>9364586</v>
      </c>
      <c r="G109" s="43">
        <v>8911080</v>
      </c>
      <c r="H109" s="43">
        <f>263506+2813</f>
        <v>266319</v>
      </c>
      <c r="I109" s="38"/>
      <c r="J109" s="43">
        <f>O109+L109</f>
        <v>152840</v>
      </c>
      <c r="K109" s="43">
        <f>115890+36950</f>
        <v>152840</v>
      </c>
      <c r="L109" s="38"/>
      <c r="M109" s="38"/>
      <c r="N109" s="38"/>
      <c r="O109" s="43">
        <f>K109</f>
        <v>152840</v>
      </c>
      <c r="P109" s="252">
        <f t="shared" si="15"/>
        <v>9517426</v>
      </c>
    </row>
    <row r="110" spans="1:16" s="40" customFormat="1" ht="18.75" hidden="1">
      <c r="A110" s="251" t="s">
        <v>586</v>
      </c>
      <c r="B110" s="36" t="s">
        <v>587</v>
      </c>
      <c r="C110" s="36"/>
      <c r="D110" s="37" t="s">
        <v>588</v>
      </c>
      <c r="E110" s="38"/>
      <c r="F110" s="38"/>
      <c r="G110" s="38"/>
      <c r="H110" s="38"/>
      <c r="I110" s="38"/>
      <c r="J110" s="38"/>
      <c r="K110" s="38"/>
      <c r="L110" s="38"/>
      <c r="M110" s="38"/>
      <c r="N110" s="38"/>
      <c r="O110" s="38"/>
      <c r="P110" s="252"/>
    </row>
    <row r="111" spans="1:16" s="40" customFormat="1" ht="93.75" hidden="1">
      <c r="A111" s="253" t="s">
        <v>589</v>
      </c>
      <c r="B111" s="41" t="s">
        <v>590</v>
      </c>
      <c r="C111" s="41" t="s">
        <v>540</v>
      </c>
      <c r="D111" s="44" t="s">
        <v>591</v>
      </c>
      <c r="E111" s="43"/>
      <c r="F111" s="43"/>
      <c r="G111" s="53"/>
      <c r="H111" s="53"/>
      <c r="I111" s="53"/>
      <c r="J111" s="53"/>
      <c r="K111" s="53"/>
      <c r="L111" s="53"/>
      <c r="M111" s="53"/>
      <c r="N111" s="53"/>
      <c r="O111" s="53"/>
      <c r="P111" s="252"/>
    </row>
    <row r="112" spans="1:16" s="40" customFormat="1" ht="112.5" hidden="1">
      <c r="A112" s="253" t="s">
        <v>592</v>
      </c>
      <c r="B112" s="41" t="s">
        <v>593</v>
      </c>
      <c r="C112" s="41"/>
      <c r="D112" s="44" t="s">
        <v>594</v>
      </c>
      <c r="E112" s="43"/>
      <c r="F112" s="43"/>
      <c r="G112" s="43"/>
      <c r="H112" s="43"/>
      <c r="I112" s="43"/>
      <c r="J112" s="43"/>
      <c r="K112" s="43"/>
      <c r="L112" s="43"/>
      <c r="M112" s="43"/>
      <c r="N112" s="43"/>
      <c r="O112" s="43"/>
      <c r="P112" s="252">
        <f aca="true" t="shared" si="20" ref="P112:P175">E112+J112</f>
        <v>0</v>
      </c>
    </row>
    <row r="113" spans="1:16" s="40" customFormat="1" ht="318.75" hidden="1">
      <c r="A113" s="253" t="s">
        <v>595</v>
      </c>
      <c r="B113" s="41" t="s">
        <v>596</v>
      </c>
      <c r="C113" s="41" t="s">
        <v>433</v>
      </c>
      <c r="D113" s="44" t="s">
        <v>597</v>
      </c>
      <c r="E113" s="43"/>
      <c r="F113" s="43"/>
      <c r="G113" s="43"/>
      <c r="H113" s="43"/>
      <c r="I113" s="43"/>
      <c r="J113" s="43"/>
      <c r="K113" s="43"/>
      <c r="L113" s="43"/>
      <c r="M113" s="43"/>
      <c r="N113" s="43"/>
      <c r="O113" s="43"/>
      <c r="P113" s="252">
        <f t="shared" si="20"/>
        <v>0</v>
      </c>
    </row>
    <row r="114" spans="1:16" s="40" customFormat="1" ht="393.75" hidden="1">
      <c r="A114" s="259" t="s">
        <v>598</v>
      </c>
      <c r="B114" s="72" t="s">
        <v>599</v>
      </c>
      <c r="C114" s="72" t="s">
        <v>433</v>
      </c>
      <c r="D114" s="76" t="s">
        <v>600</v>
      </c>
      <c r="E114" s="73"/>
      <c r="F114" s="74"/>
      <c r="G114" s="73"/>
      <c r="H114" s="73"/>
      <c r="I114" s="74"/>
      <c r="J114" s="73"/>
      <c r="K114" s="73"/>
      <c r="L114" s="73"/>
      <c r="M114" s="73"/>
      <c r="N114" s="73"/>
      <c r="O114" s="73"/>
      <c r="P114" s="252">
        <f t="shared" si="20"/>
        <v>0</v>
      </c>
    </row>
    <row r="115" spans="1:16" s="40" customFormat="1" ht="375" hidden="1">
      <c r="A115" s="260"/>
      <c r="B115" s="75"/>
      <c r="C115" s="75"/>
      <c r="D115" s="76" t="s">
        <v>601</v>
      </c>
      <c r="E115" s="77"/>
      <c r="F115" s="78"/>
      <c r="G115" s="77"/>
      <c r="H115" s="77"/>
      <c r="I115" s="78"/>
      <c r="J115" s="77"/>
      <c r="K115" s="77"/>
      <c r="L115" s="77"/>
      <c r="M115" s="77"/>
      <c r="N115" s="77"/>
      <c r="O115" s="77"/>
      <c r="P115" s="252">
        <f t="shared" si="20"/>
        <v>0</v>
      </c>
    </row>
    <row r="116" spans="1:16" s="40" customFormat="1" ht="150" hidden="1">
      <c r="A116" s="254"/>
      <c r="B116" s="45"/>
      <c r="C116" s="45"/>
      <c r="D116" s="261" t="s">
        <v>602</v>
      </c>
      <c r="E116" s="79"/>
      <c r="F116" s="80"/>
      <c r="G116" s="79"/>
      <c r="H116" s="79"/>
      <c r="I116" s="80"/>
      <c r="J116" s="79"/>
      <c r="K116" s="79"/>
      <c r="L116" s="79"/>
      <c r="M116" s="79"/>
      <c r="N116" s="79"/>
      <c r="O116" s="79"/>
      <c r="P116" s="252">
        <f t="shared" si="20"/>
        <v>0</v>
      </c>
    </row>
    <row r="117" spans="1:16" s="40" customFormat="1" ht="131.25" hidden="1">
      <c r="A117" s="253" t="s">
        <v>603</v>
      </c>
      <c r="B117" s="41" t="s">
        <v>604</v>
      </c>
      <c r="C117" s="41" t="s">
        <v>605</v>
      </c>
      <c r="D117" s="44" t="s">
        <v>606</v>
      </c>
      <c r="E117" s="43"/>
      <c r="F117" s="43"/>
      <c r="G117" s="43"/>
      <c r="H117" s="43"/>
      <c r="I117" s="43"/>
      <c r="J117" s="43"/>
      <c r="K117" s="43"/>
      <c r="L117" s="43"/>
      <c r="M117" s="43"/>
      <c r="N117" s="43"/>
      <c r="O117" s="43"/>
      <c r="P117" s="252">
        <f t="shared" si="20"/>
        <v>0</v>
      </c>
    </row>
    <row r="118" spans="1:16" s="40" customFormat="1" ht="243.75" hidden="1">
      <c r="A118" s="253" t="s">
        <v>607</v>
      </c>
      <c r="B118" s="41" t="s">
        <v>608</v>
      </c>
      <c r="C118" s="41" t="s">
        <v>605</v>
      </c>
      <c r="D118" s="44" t="s">
        <v>609</v>
      </c>
      <c r="E118" s="43"/>
      <c r="F118" s="43"/>
      <c r="G118" s="43"/>
      <c r="H118" s="43"/>
      <c r="I118" s="43"/>
      <c r="J118" s="43"/>
      <c r="K118" s="43"/>
      <c r="L118" s="43"/>
      <c r="M118" s="43"/>
      <c r="N118" s="43"/>
      <c r="O118" s="43"/>
      <c r="P118" s="252">
        <f t="shared" si="20"/>
        <v>0</v>
      </c>
    </row>
    <row r="119" spans="1:16" s="40" customFormat="1" ht="37.5" hidden="1">
      <c r="A119" s="253" t="s">
        <v>610</v>
      </c>
      <c r="B119" s="41" t="s">
        <v>611</v>
      </c>
      <c r="C119" s="41" t="s">
        <v>605</v>
      </c>
      <c r="D119" s="44" t="s">
        <v>612</v>
      </c>
      <c r="E119" s="43"/>
      <c r="F119" s="43"/>
      <c r="G119" s="43"/>
      <c r="H119" s="43"/>
      <c r="I119" s="43"/>
      <c r="J119" s="43"/>
      <c r="K119" s="43"/>
      <c r="L119" s="43"/>
      <c r="M119" s="43"/>
      <c r="N119" s="43"/>
      <c r="O119" s="43"/>
      <c r="P119" s="252">
        <f t="shared" si="20"/>
        <v>0</v>
      </c>
    </row>
    <row r="120" spans="1:16" s="40" customFormat="1" ht="56.25" hidden="1">
      <c r="A120" s="253" t="s">
        <v>613</v>
      </c>
      <c r="B120" s="41" t="s">
        <v>614</v>
      </c>
      <c r="C120" s="41" t="s">
        <v>590</v>
      </c>
      <c r="D120" s="44" t="s">
        <v>615</v>
      </c>
      <c r="E120" s="43"/>
      <c r="F120" s="43"/>
      <c r="G120" s="43"/>
      <c r="H120" s="43"/>
      <c r="I120" s="43"/>
      <c r="J120" s="43"/>
      <c r="K120" s="43"/>
      <c r="L120" s="43"/>
      <c r="M120" s="43"/>
      <c r="N120" s="43"/>
      <c r="O120" s="43"/>
      <c r="P120" s="252">
        <f t="shared" si="20"/>
        <v>0</v>
      </c>
    </row>
    <row r="121" spans="1:16" s="40" customFormat="1" ht="56.25" hidden="1">
      <c r="A121" s="253" t="s">
        <v>616</v>
      </c>
      <c r="B121" s="41" t="s">
        <v>617</v>
      </c>
      <c r="C121" s="41"/>
      <c r="D121" s="44" t="s">
        <v>618</v>
      </c>
      <c r="E121" s="43"/>
      <c r="F121" s="43"/>
      <c r="G121" s="53"/>
      <c r="H121" s="53"/>
      <c r="I121" s="53"/>
      <c r="J121" s="53"/>
      <c r="K121" s="53"/>
      <c r="L121" s="53"/>
      <c r="M121" s="53"/>
      <c r="N121" s="53"/>
      <c r="O121" s="53"/>
      <c r="P121" s="252">
        <f t="shared" si="20"/>
        <v>0</v>
      </c>
    </row>
    <row r="122" spans="1:16" s="40" customFormat="1" ht="281.25" hidden="1">
      <c r="A122" s="253" t="s">
        <v>619</v>
      </c>
      <c r="B122" s="41" t="s">
        <v>620</v>
      </c>
      <c r="C122" s="41" t="s">
        <v>433</v>
      </c>
      <c r="D122" s="44" t="s">
        <v>621</v>
      </c>
      <c r="E122" s="43"/>
      <c r="F122" s="43"/>
      <c r="G122" s="43"/>
      <c r="H122" s="43"/>
      <c r="I122" s="43"/>
      <c r="J122" s="43"/>
      <c r="K122" s="43"/>
      <c r="L122" s="43"/>
      <c r="M122" s="43"/>
      <c r="N122" s="43"/>
      <c r="O122" s="43"/>
      <c r="P122" s="252">
        <f t="shared" si="20"/>
        <v>0</v>
      </c>
    </row>
    <row r="123" spans="1:16" s="40" customFormat="1" ht="112.5" hidden="1">
      <c r="A123" s="253" t="s">
        <v>622</v>
      </c>
      <c r="B123" s="41" t="s">
        <v>623</v>
      </c>
      <c r="C123" s="41" t="s">
        <v>605</v>
      </c>
      <c r="D123" s="44" t="s">
        <v>624</v>
      </c>
      <c r="E123" s="43"/>
      <c r="F123" s="43"/>
      <c r="G123" s="43"/>
      <c r="H123" s="43"/>
      <c r="I123" s="43"/>
      <c r="J123" s="43"/>
      <c r="K123" s="43"/>
      <c r="L123" s="43"/>
      <c r="M123" s="43"/>
      <c r="N123" s="43"/>
      <c r="O123" s="43"/>
      <c r="P123" s="252">
        <f t="shared" si="20"/>
        <v>0</v>
      </c>
    </row>
    <row r="124" spans="1:16" s="40" customFormat="1" ht="243.75" hidden="1">
      <c r="A124" s="253" t="s">
        <v>625</v>
      </c>
      <c r="B124" s="41" t="s">
        <v>626</v>
      </c>
      <c r="C124" s="41" t="s">
        <v>605</v>
      </c>
      <c r="D124" s="44" t="s">
        <v>627</v>
      </c>
      <c r="E124" s="43"/>
      <c r="F124" s="43"/>
      <c r="G124" s="43"/>
      <c r="H124" s="43"/>
      <c r="I124" s="43"/>
      <c r="J124" s="43"/>
      <c r="K124" s="43"/>
      <c r="L124" s="43"/>
      <c r="M124" s="43"/>
      <c r="N124" s="43"/>
      <c r="O124" s="43"/>
      <c r="P124" s="252">
        <f t="shared" si="20"/>
        <v>0</v>
      </c>
    </row>
    <row r="125" spans="1:16" s="40" customFormat="1" ht="56.25" hidden="1">
      <c r="A125" s="253" t="s">
        <v>628</v>
      </c>
      <c r="B125" s="41" t="s">
        <v>629</v>
      </c>
      <c r="C125" s="41" t="s">
        <v>605</v>
      </c>
      <c r="D125" s="44" t="s">
        <v>630</v>
      </c>
      <c r="E125" s="43"/>
      <c r="F125" s="43"/>
      <c r="G125" s="43"/>
      <c r="H125" s="43"/>
      <c r="I125" s="43"/>
      <c r="J125" s="43"/>
      <c r="K125" s="43"/>
      <c r="L125" s="43"/>
      <c r="M125" s="43"/>
      <c r="N125" s="43"/>
      <c r="O125" s="43"/>
      <c r="P125" s="252">
        <f t="shared" si="20"/>
        <v>0</v>
      </c>
    </row>
    <row r="126" spans="1:16" s="40" customFormat="1" ht="75" hidden="1">
      <c r="A126" s="253" t="s">
        <v>631</v>
      </c>
      <c r="B126" s="41" t="s">
        <v>632</v>
      </c>
      <c r="C126" s="41" t="s">
        <v>590</v>
      </c>
      <c r="D126" s="44" t="s">
        <v>633</v>
      </c>
      <c r="E126" s="43"/>
      <c r="F126" s="43"/>
      <c r="G126" s="43"/>
      <c r="H126" s="43"/>
      <c r="I126" s="43"/>
      <c r="J126" s="43"/>
      <c r="K126" s="43"/>
      <c r="L126" s="43"/>
      <c r="M126" s="43"/>
      <c r="N126" s="43"/>
      <c r="O126" s="43"/>
      <c r="P126" s="252">
        <f t="shared" si="20"/>
        <v>0</v>
      </c>
    </row>
    <row r="127" spans="1:16" s="40" customFormat="1" ht="262.5" hidden="1">
      <c r="A127" s="253" t="s">
        <v>634</v>
      </c>
      <c r="B127" s="41" t="s">
        <v>635</v>
      </c>
      <c r="C127" s="81"/>
      <c r="D127" s="44" t="s">
        <v>636</v>
      </c>
      <c r="E127" s="43"/>
      <c r="F127" s="43"/>
      <c r="G127" s="53"/>
      <c r="H127" s="53"/>
      <c r="I127" s="53"/>
      <c r="J127" s="53"/>
      <c r="K127" s="53"/>
      <c r="L127" s="53"/>
      <c r="M127" s="53"/>
      <c r="N127" s="53"/>
      <c r="O127" s="53"/>
      <c r="P127" s="252">
        <f t="shared" si="20"/>
        <v>0</v>
      </c>
    </row>
    <row r="128" spans="1:16" s="40" customFormat="1" ht="112.5" hidden="1">
      <c r="A128" s="253" t="s">
        <v>637</v>
      </c>
      <c r="B128" s="41" t="s">
        <v>638</v>
      </c>
      <c r="C128" s="41" t="s">
        <v>605</v>
      </c>
      <c r="D128" s="44" t="s">
        <v>639</v>
      </c>
      <c r="E128" s="43"/>
      <c r="F128" s="43"/>
      <c r="G128" s="53"/>
      <c r="H128" s="53"/>
      <c r="I128" s="53"/>
      <c r="J128" s="53"/>
      <c r="K128" s="53"/>
      <c r="L128" s="53"/>
      <c r="M128" s="53"/>
      <c r="N128" s="53"/>
      <c r="O128" s="53"/>
      <c r="P128" s="252">
        <f t="shared" si="20"/>
        <v>0</v>
      </c>
    </row>
    <row r="129" spans="1:16" s="40" customFormat="1" ht="37.5" hidden="1">
      <c r="A129" s="253" t="s">
        <v>640</v>
      </c>
      <c r="B129" s="41" t="s">
        <v>641</v>
      </c>
      <c r="C129" s="41" t="s">
        <v>605</v>
      </c>
      <c r="D129" s="44" t="s">
        <v>642</v>
      </c>
      <c r="E129" s="43"/>
      <c r="F129" s="43"/>
      <c r="G129" s="53"/>
      <c r="H129" s="53"/>
      <c r="I129" s="53"/>
      <c r="J129" s="53"/>
      <c r="K129" s="53"/>
      <c r="L129" s="53"/>
      <c r="M129" s="53"/>
      <c r="N129" s="53"/>
      <c r="O129" s="53"/>
      <c r="P129" s="252">
        <f t="shared" si="20"/>
        <v>0</v>
      </c>
    </row>
    <row r="130" spans="1:16" s="40" customFormat="1" ht="56.25" hidden="1">
      <c r="A130" s="253" t="s">
        <v>643</v>
      </c>
      <c r="B130" s="41" t="s">
        <v>644</v>
      </c>
      <c r="C130" s="41" t="s">
        <v>605</v>
      </c>
      <c r="D130" s="44" t="s">
        <v>645</v>
      </c>
      <c r="E130" s="43"/>
      <c r="F130" s="43"/>
      <c r="G130" s="43"/>
      <c r="H130" s="43"/>
      <c r="I130" s="43"/>
      <c r="J130" s="43"/>
      <c r="K130" s="43"/>
      <c r="L130" s="43"/>
      <c r="M130" s="43"/>
      <c r="N130" s="43"/>
      <c r="O130" s="43"/>
      <c r="P130" s="252">
        <f t="shared" si="20"/>
        <v>0</v>
      </c>
    </row>
    <row r="131" spans="1:16" s="40" customFormat="1" ht="56.25" hidden="1">
      <c r="A131" s="253" t="s">
        <v>646</v>
      </c>
      <c r="B131" s="41" t="s">
        <v>647</v>
      </c>
      <c r="C131" s="41" t="s">
        <v>605</v>
      </c>
      <c r="D131" s="44" t="s">
        <v>648</v>
      </c>
      <c r="E131" s="43"/>
      <c r="F131" s="43"/>
      <c r="G131" s="43"/>
      <c r="H131" s="43"/>
      <c r="I131" s="43"/>
      <c r="J131" s="43"/>
      <c r="K131" s="43"/>
      <c r="L131" s="43"/>
      <c r="M131" s="43"/>
      <c r="N131" s="43"/>
      <c r="O131" s="43"/>
      <c r="P131" s="252">
        <f t="shared" si="20"/>
        <v>0</v>
      </c>
    </row>
    <row r="132" spans="1:16" s="40" customFormat="1" ht="75" hidden="1">
      <c r="A132" s="253" t="s">
        <v>649</v>
      </c>
      <c r="B132" s="41" t="s">
        <v>650</v>
      </c>
      <c r="C132" s="41"/>
      <c r="D132" s="82" t="s">
        <v>651</v>
      </c>
      <c r="E132" s="43"/>
      <c r="F132" s="43"/>
      <c r="G132" s="53"/>
      <c r="H132" s="53"/>
      <c r="I132" s="53"/>
      <c r="J132" s="53"/>
      <c r="K132" s="53"/>
      <c r="L132" s="53"/>
      <c r="M132" s="53"/>
      <c r="N132" s="53"/>
      <c r="O132" s="53"/>
      <c r="P132" s="252">
        <f t="shared" si="20"/>
        <v>0</v>
      </c>
    </row>
    <row r="133" spans="1:16" s="40" customFormat="1" ht="37.5" hidden="1">
      <c r="A133" s="253" t="s">
        <v>652</v>
      </c>
      <c r="B133" s="41" t="s">
        <v>653</v>
      </c>
      <c r="C133" s="41" t="s">
        <v>426</v>
      </c>
      <c r="D133" s="44" t="s">
        <v>654</v>
      </c>
      <c r="E133" s="43"/>
      <c r="F133" s="43"/>
      <c r="G133" s="43"/>
      <c r="H133" s="43"/>
      <c r="I133" s="43"/>
      <c r="J133" s="43"/>
      <c r="K133" s="43"/>
      <c r="L133" s="43"/>
      <c r="M133" s="43"/>
      <c r="N133" s="43"/>
      <c r="O133" s="43"/>
      <c r="P133" s="252">
        <f t="shared" si="20"/>
        <v>0</v>
      </c>
    </row>
    <row r="134" spans="1:16" s="40" customFormat="1" ht="37.5" hidden="1">
      <c r="A134" s="253" t="s">
        <v>655</v>
      </c>
      <c r="B134" s="41" t="s">
        <v>656</v>
      </c>
      <c r="C134" s="41" t="s">
        <v>426</v>
      </c>
      <c r="D134" s="44" t="s">
        <v>657</v>
      </c>
      <c r="E134" s="43"/>
      <c r="F134" s="43"/>
      <c r="G134" s="43"/>
      <c r="H134" s="43"/>
      <c r="I134" s="43"/>
      <c r="J134" s="43"/>
      <c r="K134" s="43"/>
      <c r="L134" s="43"/>
      <c r="M134" s="43"/>
      <c r="N134" s="43"/>
      <c r="O134" s="43"/>
      <c r="P134" s="252">
        <f t="shared" si="20"/>
        <v>0</v>
      </c>
    </row>
    <row r="135" spans="1:16" s="40" customFormat="1" ht="18.75" hidden="1">
      <c r="A135" s="253" t="s">
        <v>658</v>
      </c>
      <c r="B135" s="41" t="s">
        <v>659</v>
      </c>
      <c r="C135" s="41" t="s">
        <v>426</v>
      </c>
      <c r="D135" s="44" t="s">
        <v>660</v>
      </c>
      <c r="E135" s="43"/>
      <c r="F135" s="43"/>
      <c r="G135" s="43"/>
      <c r="H135" s="43"/>
      <c r="I135" s="43"/>
      <c r="J135" s="43"/>
      <c r="K135" s="43"/>
      <c r="L135" s="43"/>
      <c r="M135" s="43"/>
      <c r="N135" s="43"/>
      <c r="O135" s="43"/>
      <c r="P135" s="252">
        <f t="shared" si="20"/>
        <v>0</v>
      </c>
    </row>
    <row r="136" spans="1:16" s="40" customFormat="1" ht="37.5" hidden="1">
      <c r="A136" s="253" t="s">
        <v>661</v>
      </c>
      <c r="B136" s="41" t="s">
        <v>662</v>
      </c>
      <c r="C136" s="41" t="s">
        <v>426</v>
      </c>
      <c r="D136" s="44" t="s">
        <v>663</v>
      </c>
      <c r="E136" s="43"/>
      <c r="F136" s="43"/>
      <c r="G136" s="43"/>
      <c r="H136" s="43"/>
      <c r="I136" s="43"/>
      <c r="J136" s="43"/>
      <c r="K136" s="43"/>
      <c r="L136" s="43"/>
      <c r="M136" s="43"/>
      <c r="N136" s="43"/>
      <c r="O136" s="43"/>
      <c r="P136" s="252">
        <f t="shared" si="20"/>
        <v>0</v>
      </c>
    </row>
    <row r="137" spans="1:16" s="40" customFormat="1" ht="37.5" hidden="1">
      <c r="A137" s="253" t="s">
        <v>664</v>
      </c>
      <c r="B137" s="41" t="s">
        <v>665</v>
      </c>
      <c r="C137" s="41" t="s">
        <v>426</v>
      </c>
      <c r="D137" s="44" t="s">
        <v>666</v>
      </c>
      <c r="E137" s="43"/>
      <c r="F137" s="43"/>
      <c r="G137" s="43"/>
      <c r="H137" s="43"/>
      <c r="I137" s="43"/>
      <c r="J137" s="43"/>
      <c r="K137" s="43"/>
      <c r="L137" s="43"/>
      <c r="M137" s="43"/>
      <c r="N137" s="43"/>
      <c r="O137" s="43"/>
      <c r="P137" s="252">
        <f t="shared" si="20"/>
        <v>0</v>
      </c>
    </row>
    <row r="138" spans="1:16" s="40" customFormat="1" ht="37.5" hidden="1">
      <c r="A138" s="253" t="s">
        <v>667</v>
      </c>
      <c r="B138" s="41" t="s">
        <v>668</v>
      </c>
      <c r="C138" s="41" t="s">
        <v>426</v>
      </c>
      <c r="D138" s="44" t="s">
        <v>669</v>
      </c>
      <c r="E138" s="43"/>
      <c r="F138" s="43"/>
      <c r="G138" s="43"/>
      <c r="H138" s="43"/>
      <c r="I138" s="43"/>
      <c r="J138" s="43"/>
      <c r="K138" s="43"/>
      <c r="L138" s="43"/>
      <c r="M138" s="43"/>
      <c r="N138" s="43"/>
      <c r="O138" s="43"/>
      <c r="P138" s="252">
        <f t="shared" si="20"/>
        <v>0</v>
      </c>
    </row>
    <row r="139" spans="1:16" s="40" customFormat="1" ht="18.75" hidden="1">
      <c r="A139" s="253" t="s">
        <v>670</v>
      </c>
      <c r="B139" s="41" t="s">
        <v>671</v>
      </c>
      <c r="C139" s="41" t="s">
        <v>426</v>
      </c>
      <c r="D139" s="44" t="s">
        <v>672</v>
      </c>
      <c r="E139" s="43"/>
      <c r="F139" s="43"/>
      <c r="G139" s="43"/>
      <c r="H139" s="43"/>
      <c r="I139" s="43"/>
      <c r="J139" s="43"/>
      <c r="K139" s="43"/>
      <c r="L139" s="43"/>
      <c r="M139" s="43"/>
      <c r="N139" s="43"/>
      <c r="O139" s="43"/>
      <c r="P139" s="252">
        <f t="shared" si="20"/>
        <v>0</v>
      </c>
    </row>
    <row r="140" spans="1:16" s="40" customFormat="1" ht="37.5" hidden="1">
      <c r="A140" s="253" t="s">
        <v>673</v>
      </c>
      <c r="B140" s="41" t="s">
        <v>674</v>
      </c>
      <c r="C140" s="41" t="s">
        <v>426</v>
      </c>
      <c r="D140" s="44" t="s">
        <v>675</v>
      </c>
      <c r="E140" s="43"/>
      <c r="F140" s="43"/>
      <c r="G140" s="43"/>
      <c r="H140" s="43"/>
      <c r="I140" s="43"/>
      <c r="J140" s="43"/>
      <c r="K140" s="43"/>
      <c r="L140" s="43"/>
      <c r="M140" s="43"/>
      <c r="N140" s="43"/>
      <c r="O140" s="43"/>
      <c r="P140" s="252">
        <f t="shared" si="20"/>
        <v>0</v>
      </c>
    </row>
    <row r="141" spans="1:16" s="40" customFormat="1" ht="37.5" hidden="1">
      <c r="A141" s="253" t="s">
        <v>676</v>
      </c>
      <c r="B141" s="41" t="s">
        <v>677</v>
      </c>
      <c r="C141" s="41" t="s">
        <v>539</v>
      </c>
      <c r="D141" s="44" t="s">
        <v>678</v>
      </c>
      <c r="E141" s="43"/>
      <c r="F141" s="43"/>
      <c r="G141" s="43"/>
      <c r="H141" s="43"/>
      <c r="I141" s="43"/>
      <c r="J141" s="43"/>
      <c r="K141" s="43"/>
      <c r="L141" s="43"/>
      <c r="M141" s="43"/>
      <c r="N141" s="43"/>
      <c r="O141" s="43"/>
      <c r="P141" s="252">
        <f t="shared" si="20"/>
        <v>0</v>
      </c>
    </row>
    <row r="142" spans="1:16" s="40" customFormat="1" ht="56.25" hidden="1">
      <c r="A142" s="253" t="s">
        <v>679</v>
      </c>
      <c r="B142" s="41" t="s">
        <v>680</v>
      </c>
      <c r="C142" s="41" t="s">
        <v>605</v>
      </c>
      <c r="D142" s="44" t="s">
        <v>681</v>
      </c>
      <c r="E142" s="43"/>
      <c r="F142" s="43"/>
      <c r="G142" s="38"/>
      <c r="H142" s="38"/>
      <c r="I142" s="38"/>
      <c r="J142" s="38"/>
      <c r="K142" s="38"/>
      <c r="L142" s="38"/>
      <c r="M142" s="38"/>
      <c r="N142" s="38"/>
      <c r="O142" s="38"/>
      <c r="P142" s="252">
        <f t="shared" si="20"/>
        <v>0</v>
      </c>
    </row>
    <row r="143" spans="1:16" s="40" customFormat="1" ht="37.5" hidden="1">
      <c r="A143" s="253" t="s">
        <v>682</v>
      </c>
      <c r="B143" s="41" t="s">
        <v>683</v>
      </c>
      <c r="C143" s="41" t="s">
        <v>539</v>
      </c>
      <c r="D143" s="44" t="s">
        <v>684</v>
      </c>
      <c r="E143" s="43"/>
      <c r="F143" s="43"/>
      <c r="G143" s="38"/>
      <c r="H143" s="38"/>
      <c r="I143" s="38"/>
      <c r="J143" s="38"/>
      <c r="K143" s="38"/>
      <c r="L143" s="38"/>
      <c r="M143" s="38"/>
      <c r="N143" s="38"/>
      <c r="O143" s="38"/>
      <c r="P143" s="252">
        <f t="shared" si="20"/>
        <v>0</v>
      </c>
    </row>
    <row r="144" spans="1:16" s="40" customFormat="1" ht="37.5" hidden="1">
      <c r="A144" s="253" t="s">
        <v>685</v>
      </c>
      <c r="B144" s="41" t="s">
        <v>686</v>
      </c>
      <c r="C144" s="41" t="s">
        <v>433</v>
      </c>
      <c r="D144" s="44" t="s">
        <v>687</v>
      </c>
      <c r="E144" s="43"/>
      <c r="F144" s="43"/>
      <c r="G144" s="38"/>
      <c r="H144" s="38"/>
      <c r="I144" s="38"/>
      <c r="J144" s="38"/>
      <c r="K144" s="38"/>
      <c r="L144" s="38"/>
      <c r="M144" s="38"/>
      <c r="N144" s="38"/>
      <c r="O144" s="38"/>
      <c r="P144" s="252">
        <f t="shared" si="20"/>
        <v>0</v>
      </c>
    </row>
    <row r="145" spans="1:16" s="40" customFormat="1" ht="115.5" customHeight="1" hidden="1">
      <c r="A145" s="253" t="s">
        <v>688</v>
      </c>
      <c r="B145" s="41" t="s">
        <v>593</v>
      </c>
      <c r="C145" s="41"/>
      <c r="D145" s="44" t="s">
        <v>594</v>
      </c>
      <c r="E145" s="43"/>
      <c r="F145" s="43"/>
      <c r="G145" s="38"/>
      <c r="H145" s="38"/>
      <c r="I145" s="38"/>
      <c r="J145" s="38"/>
      <c r="K145" s="38"/>
      <c r="L145" s="38"/>
      <c r="M145" s="38"/>
      <c r="N145" s="38"/>
      <c r="O145" s="38"/>
      <c r="P145" s="252">
        <f t="shared" si="20"/>
        <v>0</v>
      </c>
    </row>
    <row r="146" spans="1:16" s="40" customFormat="1" ht="63" customHeight="1" hidden="1">
      <c r="A146" s="253" t="s">
        <v>689</v>
      </c>
      <c r="B146" s="41" t="s">
        <v>596</v>
      </c>
      <c r="C146" s="41" t="s">
        <v>433</v>
      </c>
      <c r="D146" s="44" t="s">
        <v>690</v>
      </c>
      <c r="E146" s="43"/>
      <c r="F146" s="43"/>
      <c r="G146" s="38"/>
      <c r="H146" s="38"/>
      <c r="I146" s="38"/>
      <c r="J146" s="38"/>
      <c r="K146" s="38"/>
      <c r="L146" s="38"/>
      <c r="M146" s="38"/>
      <c r="N146" s="38"/>
      <c r="O146" s="38"/>
      <c r="P146" s="252">
        <f t="shared" si="20"/>
        <v>0</v>
      </c>
    </row>
    <row r="147" spans="1:16" s="40" customFormat="1" ht="56.25" hidden="1">
      <c r="A147" s="253" t="s">
        <v>691</v>
      </c>
      <c r="B147" s="41" t="s">
        <v>599</v>
      </c>
      <c r="C147" s="41" t="s">
        <v>590</v>
      </c>
      <c r="D147" s="44" t="s">
        <v>692</v>
      </c>
      <c r="E147" s="43"/>
      <c r="F147" s="43"/>
      <c r="G147" s="38"/>
      <c r="H147" s="38"/>
      <c r="I147" s="38"/>
      <c r="J147" s="38"/>
      <c r="K147" s="38"/>
      <c r="L147" s="38"/>
      <c r="M147" s="38"/>
      <c r="N147" s="38"/>
      <c r="O147" s="38"/>
      <c r="P147" s="252">
        <f t="shared" si="20"/>
        <v>0</v>
      </c>
    </row>
    <row r="148" spans="1:16" s="40" customFormat="1" ht="56.25" hidden="1">
      <c r="A148" s="253" t="s">
        <v>693</v>
      </c>
      <c r="B148" s="41" t="s">
        <v>617</v>
      </c>
      <c r="C148" s="41"/>
      <c r="D148" s="44" t="s">
        <v>618</v>
      </c>
      <c r="E148" s="43"/>
      <c r="F148" s="43"/>
      <c r="G148" s="38"/>
      <c r="H148" s="38"/>
      <c r="I148" s="38"/>
      <c r="J148" s="38"/>
      <c r="K148" s="38"/>
      <c r="L148" s="38"/>
      <c r="M148" s="38"/>
      <c r="N148" s="38"/>
      <c r="O148" s="38"/>
      <c r="P148" s="252">
        <f t="shared" si="20"/>
        <v>0</v>
      </c>
    </row>
    <row r="149" spans="1:16" s="40" customFormat="1" ht="82.5" customHeight="1" hidden="1">
      <c r="A149" s="253" t="s">
        <v>694</v>
      </c>
      <c r="B149" s="41" t="s">
        <v>620</v>
      </c>
      <c r="C149" s="41" t="s">
        <v>433</v>
      </c>
      <c r="D149" s="44" t="s">
        <v>695</v>
      </c>
      <c r="E149" s="43"/>
      <c r="F149" s="43"/>
      <c r="G149" s="38"/>
      <c r="H149" s="38"/>
      <c r="I149" s="38"/>
      <c r="J149" s="38"/>
      <c r="K149" s="38"/>
      <c r="L149" s="38"/>
      <c r="M149" s="38"/>
      <c r="N149" s="38"/>
      <c r="O149" s="38"/>
      <c r="P149" s="252">
        <f t="shared" si="20"/>
        <v>0</v>
      </c>
    </row>
    <row r="150" spans="1:16" s="40" customFormat="1" ht="87" customHeight="1" hidden="1">
      <c r="A150" s="253" t="s">
        <v>696</v>
      </c>
      <c r="B150" s="41" t="s">
        <v>697</v>
      </c>
      <c r="C150" s="41" t="s">
        <v>590</v>
      </c>
      <c r="D150" s="44" t="s">
        <v>633</v>
      </c>
      <c r="E150" s="43"/>
      <c r="F150" s="43"/>
      <c r="G150" s="38"/>
      <c r="H150" s="38"/>
      <c r="I150" s="38"/>
      <c r="J150" s="38"/>
      <c r="K150" s="38"/>
      <c r="L150" s="38"/>
      <c r="M150" s="38"/>
      <c r="N150" s="38"/>
      <c r="O150" s="38"/>
      <c r="P150" s="252">
        <f t="shared" si="20"/>
        <v>0</v>
      </c>
    </row>
    <row r="151" spans="1:16" s="40" customFormat="1" ht="98.25" customHeight="1" hidden="1">
      <c r="A151" s="253" t="s">
        <v>698</v>
      </c>
      <c r="B151" s="41" t="s">
        <v>635</v>
      </c>
      <c r="C151" s="41"/>
      <c r="D151" s="76" t="s">
        <v>699</v>
      </c>
      <c r="E151" s="43"/>
      <c r="F151" s="43"/>
      <c r="G151" s="43"/>
      <c r="H151" s="43"/>
      <c r="I151" s="43"/>
      <c r="J151" s="43"/>
      <c r="K151" s="43"/>
      <c r="L151" s="43"/>
      <c r="M151" s="43"/>
      <c r="N151" s="43"/>
      <c r="O151" s="43"/>
      <c r="P151" s="252">
        <f t="shared" si="20"/>
        <v>0</v>
      </c>
    </row>
    <row r="152" spans="1:16" s="40" customFormat="1" ht="56.25">
      <c r="A152" s="253" t="s">
        <v>689</v>
      </c>
      <c r="B152" s="41" t="s">
        <v>596</v>
      </c>
      <c r="C152" s="41" t="s">
        <v>433</v>
      </c>
      <c r="D152" s="83" t="s">
        <v>690</v>
      </c>
      <c r="E152" s="43">
        <f>F152</f>
        <v>8918116</v>
      </c>
      <c r="F152" s="43">
        <f>6039735+2878381</f>
        <v>8918116</v>
      </c>
      <c r="G152" s="43"/>
      <c r="H152" s="43"/>
      <c r="I152" s="43"/>
      <c r="J152" s="43"/>
      <c r="K152" s="43"/>
      <c r="L152" s="43"/>
      <c r="M152" s="43"/>
      <c r="N152" s="43"/>
      <c r="O152" s="43"/>
      <c r="P152" s="252">
        <f t="shared" si="20"/>
        <v>8918116</v>
      </c>
    </row>
    <row r="153" spans="1:16" s="40" customFormat="1" ht="59.25" customHeight="1">
      <c r="A153" s="253" t="s">
        <v>691</v>
      </c>
      <c r="B153" s="41" t="s">
        <v>599</v>
      </c>
      <c r="C153" s="41" t="s">
        <v>590</v>
      </c>
      <c r="D153" s="76" t="s">
        <v>700</v>
      </c>
      <c r="E153" s="43">
        <f>F153</f>
        <v>19489123</v>
      </c>
      <c r="F153" s="43">
        <f>57339965-34972461-2878381</f>
        <v>19489123</v>
      </c>
      <c r="G153" s="43"/>
      <c r="H153" s="43"/>
      <c r="I153" s="43"/>
      <c r="J153" s="43"/>
      <c r="K153" s="43"/>
      <c r="L153" s="43"/>
      <c r="M153" s="43"/>
      <c r="N153" s="43"/>
      <c r="O153" s="43"/>
      <c r="P153" s="252">
        <f t="shared" si="20"/>
        <v>19489123</v>
      </c>
    </row>
    <row r="154" spans="1:16" s="40" customFormat="1" ht="78.75" customHeight="1">
      <c r="A154" s="253" t="s">
        <v>694</v>
      </c>
      <c r="B154" s="41" t="s">
        <v>620</v>
      </c>
      <c r="C154" s="84" t="s">
        <v>433</v>
      </c>
      <c r="D154" s="44" t="s">
        <v>695</v>
      </c>
      <c r="E154" s="43">
        <f>F154</f>
        <v>98795</v>
      </c>
      <c r="F154" s="43">
        <v>98795</v>
      </c>
      <c r="G154" s="43"/>
      <c r="H154" s="43"/>
      <c r="I154" s="43"/>
      <c r="J154" s="43"/>
      <c r="K154" s="43"/>
      <c r="L154" s="43"/>
      <c r="M154" s="43"/>
      <c r="N154" s="43"/>
      <c r="O154" s="43"/>
      <c r="P154" s="252">
        <f t="shared" si="20"/>
        <v>98795</v>
      </c>
    </row>
    <row r="155" spans="1:16" s="40" customFormat="1" ht="75">
      <c r="A155" s="253" t="s">
        <v>696</v>
      </c>
      <c r="B155" s="41" t="s">
        <v>697</v>
      </c>
      <c r="C155" s="84" t="s">
        <v>590</v>
      </c>
      <c r="D155" s="44" t="s">
        <v>633</v>
      </c>
      <c r="E155" s="43">
        <f>F155</f>
        <v>1308305</v>
      </c>
      <c r="F155" s="43">
        <v>1308305</v>
      </c>
      <c r="G155" s="43"/>
      <c r="H155" s="43"/>
      <c r="I155" s="43"/>
      <c r="J155" s="43"/>
      <c r="K155" s="43"/>
      <c r="L155" s="43"/>
      <c r="M155" s="43"/>
      <c r="N155" s="43"/>
      <c r="O155" s="43"/>
      <c r="P155" s="252">
        <f t="shared" si="20"/>
        <v>1308305</v>
      </c>
    </row>
    <row r="156" spans="1:16" s="40" customFormat="1" ht="40.5" customHeight="1">
      <c r="A156" s="253" t="s">
        <v>701</v>
      </c>
      <c r="B156" s="41" t="s">
        <v>702</v>
      </c>
      <c r="C156" s="84" t="s">
        <v>433</v>
      </c>
      <c r="D156" s="42" t="s">
        <v>703</v>
      </c>
      <c r="E156" s="43">
        <f>F156</f>
        <v>17200</v>
      </c>
      <c r="F156" s="43">
        <v>17200</v>
      </c>
      <c r="G156" s="43"/>
      <c r="H156" s="43"/>
      <c r="I156" s="38"/>
      <c r="J156" s="43"/>
      <c r="K156" s="43"/>
      <c r="L156" s="38"/>
      <c r="M156" s="38"/>
      <c r="N156" s="38"/>
      <c r="O156" s="38"/>
      <c r="P156" s="252">
        <f t="shared" si="20"/>
        <v>17200</v>
      </c>
    </row>
    <row r="157" spans="1:16" s="40" customFormat="1" ht="37.5">
      <c r="A157" s="253" t="s">
        <v>704</v>
      </c>
      <c r="B157" s="41" t="s">
        <v>705</v>
      </c>
      <c r="C157" s="84" t="s">
        <v>605</v>
      </c>
      <c r="D157" s="42" t="s">
        <v>642</v>
      </c>
      <c r="E157" s="43">
        <f aca="true" t="shared" si="21" ref="E157:E188">F157</f>
        <v>203400</v>
      </c>
      <c r="F157" s="43">
        <v>203400</v>
      </c>
      <c r="G157" s="43"/>
      <c r="H157" s="43"/>
      <c r="I157" s="38"/>
      <c r="J157" s="43"/>
      <c r="K157" s="43"/>
      <c r="L157" s="38"/>
      <c r="M157" s="38"/>
      <c r="N157" s="38"/>
      <c r="O157" s="38"/>
      <c r="P157" s="252">
        <f t="shared" si="20"/>
        <v>203400</v>
      </c>
    </row>
    <row r="158" spans="1:16" s="40" customFormat="1" ht="56.25">
      <c r="A158" s="253" t="s">
        <v>706</v>
      </c>
      <c r="B158" s="41" t="s">
        <v>638</v>
      </c>
      <c r="C158" s="84" t="s">
        <v>605</v>
      </c>
      <c r="D158" s="42" t="s">
        <v>645</v>
      </c>
      <c r="E158" s="43">
        <f t="shared" si="21"/>
        <v>2300000</v>
      </c>
      <c r="F158" s="43">
        <f>2000000+300000</f>
        <v>2300000</v>
      </c>
      <c r="G158" s="43"/>
      <c r="H158" s="43"/>
      <c r="I158" s="38"/>
      <c r="J158" s="43"/>
      <c r="K158" s="43"/>
      <c r="L158" s="38"/>
      <c r="M158" s="38"/>
      <c r="N158" s="38"/>
      <c r="O158" s="38"/>
      <c r="P158" s="252">
        <f t="shared" si="20"/>
        <v>2300000</v>
      </c>
    </row>
    <row r="159" spans="1:16" s="40" customFormat="1" ht="56.25">
      <c r="A159" s="259" t="s">
        <v>707</v>
      </c>
      <c r="B159" s="72" t="s">
        <v>644</v>
      </c>
      <c r="C159" s="72" t="s">
        <v>605</v>
      </c>
      <c r="D159" s="262" t="s">
        <v>648</v>
      </c>
      <c r="E159" s="43">
        <f t="shared" si="21"/>
        <v>136100</v>
      </c>
      <c r="F159" s="73">
        <v>136100</v>
      </c>
      <c r="G159" s="73"/>
      <c r="H159" s="73"/>
      <c r="I159" s="85"/>
      <c r="J159" s="73"/>
      <c r="K159" s="73"/>
      <c r="L159" s="85"/>
      <c r="M159" s="85"/>
      <c r="N159" s="85"/>
      <c r="O159" s="85"/>
      <c r="P159" s="252">
        <f t="shared" si="20"/>
        <v>136100</v>
      </c>
    </row>
    <row r="160" spans="1:16" s="40" customFormat="1" ht="56.25" hidden="1">
      <c r="A160" s="259" t="s">
        <v>708</v>
      </c>
      <c r="B160" s="72" t="s">
        <v>650</v>
      </c>
      <c r="C160" s="72"/>
      <c r="D160" s="44" t="s">
        <v>709</v>
      </c>
      <c r="E160" s="43">
        <f t="shared" si="21"/>
        <v>0</v>
      </c>
      <c r="F160" s="73"/>
      <c r="G160" s="73"/>
      <c r="H160" s="73"/>
      <c r="I160" s="85"/>
      <c r="J160" s="73"/>
      <c r="K160" s="73"/>
      <c r="L160" s="85"/>
      <c r="M160" s="85"/>
      <c r="N160" s="85"/>
      <c r="O160" s="85"/>
      <c r="P160" s="252">
        <f t="shared" si="20"/>
        <v>0</v>
      </c>
    </row>
    <row r="161" spans="1:16" s="40" customFormat="1" ht="37.5" hidden="1">
      <c r="A161" s="259" t="s">
        <v>710</v>
      </c>
      <c r="B161" s="72" t="s">
        <v>653</v>
      </c>
      <c r="C161" s="72" t="s">
        <v>426</v>
      </c>
      <c r="D161" s="44" t="s">
        <v>654</v>
      </c>
      <c r="E161" s="43">
        <f t="shared" si="21"/>
        <v>0</v>
      </c>
      <c r="F161" s="73"/>
      <c r="G161" s="73"/>
      <c r="H161" s="73"/>
      <c r="I161" s="85"/>
      <c r="J161" s="73"/>
      <c r="K161" s="73"/>
      <c r="L161" s="85"/>
      <c r="M161" s="85"/>
      <c r="N161" s="85"/>
      <c r="O161" s="85"/>
      <c r="P161" s="252">
        <f t="shared" si="20"/>
        <v>0</v>
      </c>
    </row>
    <row r="162" spans="1:16" s="40" customFormat="1" ht="24.75" customHeight="1" hidden="1">
      <c r="A162" s="259" t="s">
        <v>711</v>
      </c>
      <c r="B162" s="72" t="s">
        <v>656</v>
      </c>
      <c r="C162" s="72" t="s">
        <v>426</v>
      </c>
      <c r="D162" s="44" t="s">
        <v>672</v>
      </c>
      <c r="E162" s="43">
        <f t="shared" si="21"/>
        <v>0</v>
      </c>
      <c r="F162" s="73"/>
      <c r="G162" s="73"/>
      <c r="H162" s="73"/>
      <c r="I162" s="85"/>
      <c r="J162" s="73"/>
      <c r="K162" s="73"/>
      <c r="L162" s="85"/>
      <c r="M162" s="85"/>
      <c r="N162" s="85"/>
      <c r="O162" s="85"/>
      <c r="P162" s="252">
        <f t="shared" si="20"/>
        <v>0</v>
      </c>
    </row>
    <row r="163" spans="1:16" s="40" customFormat="1" ht="28.5" customHeight="1" hidden="1">
      <c r="A163" s="259" t="s">
        <v>712</v>
      </c>
      <c r="B163" s="72" t="s">
        <v>659</v>
      </c>
      <c r="C163" s="72" t="s">
        <v>426</v>
      </c>
      <c r="D163" s="44" t="s">
        <v>660</v>
      </c>
      <c r="E163" s="43">
        <f t="shared" si="21"/>
        <v>0</v>
      </c>
      <c r="F163" s="73"/>
      <c r="G163" s="73"/>
      <c r="H163" s="73"/>
      <c r="I163" s="85"/>
      <c r="J163" s="73"/>
      <c r="K163" s="73"/>
      <c r="L163" s="85"/>
      <c r="M163" s="85"/>
      <c r="N163" s="85"/>
      <c r="O163" s="85"/>
      <c r="P163" s="252">
        <f t="shared" si="20"/>
        <v>0</v>
      </c>
    </row>
    <row r="164" spans="1:16" s="40" customFormat="1" ht="39" customHeight="1" hidden="1">
      <c r="A164" s="259" t="s">
        <v>713</v>
      </c>
      <c r="B164" s="72" t="s">
        <v>662</v>
      </c>
      <c r="C164" s="72" t="s">
        <v>426</v>
      </c>
      <c r="D164" s="44" t="s">
        <v>663</v>
      </c>
      <c r="E164" s="43">
        <f t="shared" si="21"/>
        <v>0</v>
      </c>
      <c r="F164" s="73"/>
      <c r="G164" s="73"/>
      <c r="H164" s="73"/>
      <c r="I164" s="85"/>
      <c r="J164" s="73"/>
      <c r="K164" s="73"/>
      <c r="L164" s="85"/>
      <c r="M164" s="85"/>
      <c r="N164" s="85"/>
      <c r="O164" s="85"/>
      <c r="P164" s="252">
        <f t="shared" si="20"/>
        <v>0</v>
      </c>
    </row>
    <row r="165" spans="1:16" s="40" customFormat="1" ht="37.5" hidden="1">
      <c r="A165" s="259" t="s">
        <v>714</v>
      </c>
      <c r="B165" s="72" t="s">
        <v>665</v>
      </c>
      <c r="C165" s="72" t="s">
        <v>426</v>
      </c>
      <c r="D165" s="44" t="s">
        <v>666</v>
      </c>
      <c r="E165" s="43">
        <f t="shared" si="21"/>
        <v>0</v>
      </c>
      <c r="F165" s="73"/>
      <c r="G165" s="73"/>
      <c r="H165" s="73"/>
      <c r="I165" s="85"/>
      <c r="J165" s="73"/>
      <c r="K165" s="73"/>
      <c r="L165" s="85"/>
      <c r="M165" s="85"/>
      <c r="N165" s="85"/>
      <c r="O165" s="85"/>
      <c r="P165" s="252">
        <f t="shared" si="20"/>
        <v>0</v>
      </c>
    </row>
    <row r="166" spans="1:16" s="40" customFormat="1" ht="37.5" hidden="1">
      <c r="A166" s="259" t="s">
        <v>715</v>
      </c>
      <c r="B166" s="72" t="s">
        <v>668</v>
      </c>
      <c r="C166" s="72" t="s">
        <v>426</v>
      </c>
      <c r="D166" s="44" t="s">
        <v>669</v>
      </c>
      <c r="E166" s="43">
        <f t="shared" si="21"/>
        <v>0</v>
      </c>
      <c r="F166" s="43"/>
      <c r="G166" s="73"/>
      <c r="H166" s="73"/>
      <c r="I166" s="85"/>
      <c r="J166" s="73"/>
      <c r="K166" s="73"/>
      <c r="L166" s="85"/>
      <c r="M166" s="85"/>
      <c r="N166" s="85"/>
      <c r="O166" s="85"/>
      <c r="P166" s="252">
        <f t="shared" si="20"/>
        <v>0</v>
      </c>
    </row>
    <row r="167" spans="1:16" s="40" customFormat="1" ht="37.5" hidden="1">
      <c r="A167" s="259" t="s">
        <v>716</v>
      </c>
      <c r="B167" s="72" t="s">
        <v>671</v>
      </c>
      <c r="C167" s="72" t="s">
        <v>426</v>
      </c>
      <c r="D167" s="44" t="s">
        <v>675</v>
      </c>
      <c r="E167" s="43">
        <f t="shared" si="21"/>
        <v>0</v>
      </c>
      <c r="F167" s="73"/>
      <c r="G167" s="73"/>
      <c r="H167" s="73"/>
      <c r="I167" s="85"/>
      <c r="J167" s="73"/>
      <c r="K167" s="73"/>
      <c r="L167" s="85"/>
      <c r="M167" s="85"/>
      <c r="N167" s="85"/>
      <c r="O167" s="85"/>
      <c r="P167" s="252">
        <f t="shared" si="20"/>
        <v>0</v>
      </c>
    </row>
    <row r="168" spans="1:16" s="40" customFormat="1" ht="56.25" hidden="1">
      <c r="A168" s="253" t="s">
        <v>717</v>
      </c>
      <c r="B168" s="41" t="s">
        <v>680</v>
      </c>
      <c r="C168" s="41" t="s">
        <v>605</v>
      </c>
      <c r="D168" s="44" t="s">
        <v>681</v>
      </c>
      <c r="E168" s="43">
        <f t="shared" si="21"/>
        <v>0</v>
      </c>
      <c r="F168" s="43"/>
      <c r="G168" s="43"/>
      <c r="H168" s="43"/>
      <c r="I168" s="38"/>
      <c r="J168" s="43"/>
      <c r="K168" s="43"/>
      <c r="L168" s="38"/>
      <c r="M168" s="38"/>
      <c r="N168" s="38"/>
      <c r="O168" s="38"/>
      <c r="P168" s="252">
        <f t="shared" si="20"/>
        <v>0</v>
      </c>
    </row>
    <row r="169" spans="1:16" s="40" customFormat="1" ht="172.5" hidden="1">
      <c r="A169" s="259" t="s">
        <v>718</v>
      </c>
      <c r="B169" s="72" t="s">
        <v>683</v>
      </c>
      <c r="C169" s="72"/>
      <c r="D169" s="263" t="s">
        <v>719</v>
      </c>
      <c r="E169" s="43">
        <f t="shared" si="21"/>
        <v>0</v>
      </c>
      <c r="F169" s="73"/>
      <c r="G169" s="73"/>
      <c r="H169" s="73"/>
      <c r="I169" s="73"/>
      <c r="J169" s="73"/>
      <c r="K169" s="73"/>
      <c r="L169" s="73"/>
      <c r="M169" s="73"/>
      <c r="N169" s="73"/>
      <c r="O169" s="73"/>
      <c r="P169" s="252">
        <f t="shared" si="20"/>
        <v>0</v>
      </c>
    </row>
    <row r="170" spans="1:16" s="40" customFormat="1" ht="56.25" hidden="1">
      <c r="A170" s="259" t="s">
        <v>720</v>
      </c>
      <c r="B170" s="72" t="s">
        <v>721</v>
      </c>
      <c r="C170" s="72" t="s">
        <v>539</v>
      </c>
      <c r="D170" s="44" t="s">
        <v>722</v>
      </c>
      <c r="E170" s="43">
        <f t="shared" si="21"/>
        <v>0</v>
      </c>
      <c r="F170" s="73"/>
      <c r="G170" s="73"/>
      <c r="H170" s="73"/>
      <c r="I170" s="85"/>
      <c r="J170" s="73"/>
      <c r="K170" s="73"/>
      <c r="L170" s="85"/>
      <c r="M170" s="85"/>
      <c r="N170" s="85"/>
      <c r="O170" s="85"/>
      <c r="P170" s="252">
        <f t="shared" si="20"/>
        <v>0</v>
      </c>
    </row>
    <row r="171" spans="1:16" s="40" customFormat="1" ht="56.25" hidden="1">
      <c r="A171" s="253" t="s">
        <v>723</v>
      </c>
      <c r="B171" s="41" t="s">
        <v>724</v>
      </c>
      <c r="C171" s="41" t="s">
        <v>539</v>
      </c>
      <c r="D171" s="44" t="s">
        <v>725</v>
      </c>
      <c r="E171" s="43">
        <f t="shared" si="21"/>
        <v>0</v>
      </c>
      <c r="F171" s="43"/>
      <c r="G171" s="43"/>
      <c r="H171" s="43"/>
      <c r="I171" s="38"/>
      <c r="J171" s="43"/>
      <c r="K171" s="43"/>
      <c r="L171" s="38"/>
      <c r="M171" s="38"/>
      <c r="N171" s="38"/>
      <c r="O171" s="38"/>
      <c r="P171" s="252">
        <f t="shared" si="20"/>
        <v>0</v>
      </c>
    </row>
    <row r="172" spans="1:16" s="40" customFormat="1" ht="46.5" customHeight="1" hidden="1">
      <c r="A172" s="253" t="s">
        <v>726</v>
      </c>
      <c r="B172" s="41" t="s">
        <v>686</v>
      </c>
      <c r="C172" s="41" t="s">
        <v>433</v>
      </c>
      <c r="D172" s="44" t="s">
        <v>727</v>
      </c>
      <c r="E172" s="43">
        <f t="shared" si="21"/>
        <v>0</v>
      </c>
      <c r="F172" s="43"/>
      <c r="G172" s="43"/>
      <c r="H172" s="43"/>
      <c r="I172" s="43"/>
      <c r="J172" s="43"/>
      <c r="K172" s="43"/>
      <c r="L172" s="38"/>
      <c r="M172" s="43"/>
      <c r="N172" s="38"/>
      <c r="O172" s="38"/>
      <c r="P172" s="252">
        <f t="shared" si="20"/>
        <v>0</v>
      </c>
    </row>
    <row r="173" spans="1:16" s="40" customFormat="1" ht="36.75" customHeight="1">
      <c r="A173" s="259" t="s">
        <v>710</v>
      </c>
      <c r="B173" s="72" t="s">
        <v>653</v>
      </c>
      <c r="C173" s="72" t="s">
        <v>426</v>
      </c>
      <c r="D173" s="86" t="s">
        <v>654</v>
      </c>
      <c r="E173" s="43">
        <f t="shared" si="21"/>
        <v>1015050</v>
      </c>
      <c r="F173" s="43">
        <v>1015050</v>
      </c>
      <c r="G173" s="43"/>
      <c r="H173" s="43"/>
      <c r="I173" s="43"/>
      <c r="J173" s="43"/>
      <c r="K173" s="43"/>
      <c r="L173" s="38"/>
      <c r="M173" s="43"/>
      <c r="N173" s="38"/>
      <c r="O173" s="38"/>
      <c r="P173" s="252">
        <f t="shared" si="20"/>
        <v>1015050</v>
      </c>
    </row>
    <row r="174" spans="1:16" s="40" customFormat="1" ht="18.75">
      <c r="A174" s="259" t="s">
        <v>711</v>
      </c>
      <c r="B174" s="72" t="s">
        <v>656</v>
      </c>
      <c r="C174" s="72" t="s">
        <v>426</v>
      </c>
      <c r="D174" s="44" t="s">
        <v>672</v>
      </c>
      <c r="E174" s="43">
        <f t="shared" si="21"/>
        <v>137256</v>
      </c>
      <c r="F174" s="43">
        <v>137256</v>
      </c>
      <c r="G174" s="43"/>
      <c r="H174" s="43"/>
      <c r="I174" s="43"/>
      <c r="J174" s="43"/>
      <c r="K174" s="43"/>
      <c r="L174" s="38"/>
      <c r="M174" s="43"/>
      <c r="N174" s="38"/>
      <c r="O174" s="38"/>
      <c r="P174" s="252">
        <f t="shared" si="20"/>
        <v>137256</v>
      </c>
    </row>
    <row r="175" spans="1:16" s="40" customFormat="1" ht="18.75">
      <c r="A175" s="259" t="s">
        <v>712</v>
      </c>
      <c r="B175" s="72" t="s">
        <v>659</v>
      </c>
      <c r="C175" s="72" t="s">
        <v>426</v>
      </c>
      <c r="D175" s="44" t="s">
        <v>660</v>
      </c>
      <c r="E175" s="43">
        <f t="shared" si="21"/>
        <v>33620778</v>
      </c>
      <c r="F175" s="43">
        <v>33620778</v>
      </c>
      <c r="G175" s="43"/>
      <c r="H175" s="43"/>
      <c r="I175" s="43"/>
      <c r="J175" s="43"/>
      <c r="K175" s="43"/>
      <c r="L175" s="38"/>
      <c r="M175" s="43"/>
      <c r="N175" s="38"/>
      <c r="O175" s="38"/>
      <c r="P175" s="252">
        <f t="shared" si="20"/>
        <v>33620778</v>
      </c>
    </row>
    <row r="176" spans="1:16" s="40" customFormat="1" ht="37.5" customHeight="1">
      <c r="A176" s="259" t="s">
        <v>713</v>
      </c>
      <c r="B176" s="72" t="s">
        <v>662</v>
      </c>
      <c r="C176" s="72" t="s">
        <v>426</v>
      </c>
      <c r="D176" s="44" t="s">
        <v>663</v>
      </c>
      <c r="E176" s="43">
        <f t="shared" si="21"/>
        <v>6307227</v>
      </c>
      <c r="F176" s="43">
        <v>6307227</v>
      </c>
      <c r="G176" s="43"/>
      <c r="H176" s="43"/>
      <c r="I176" s="43"/>
      <c r="J176" s="43"/>
      <c r="K176" s="43"/>
      <c r="L176" s="38"/>
      <c r="M176" s="43"/>
      <c r="N176" s="38"/>
      <c r="O176" s="38"/>
      <c r="P176" s="252">
        <f aca="true" t="shared" si="22" ref="P176:P209">E176+J176</f>
        <v>6307227</v>
      </c>
    </row>
    <row r="177" spans="1:16" s="40" customFormat="1" ht="37.5">
      <c r="A177" s="259" t="s">
        <v>714</v>
      </c>
      <c r="B177" s="72" t="s">
        <v>665</v>
      </c>
      <c r="C177" s="72" t="s">
        <v>426</v>
      </c>
      <c r="D177" s="44" t="s">
        <v>666</v>
      </c>
      <c r="E177" s="43">
        <f t="shared" si="21"/>
        <v>22633740</v>
      </c>
      <c r="F177" s="43">
        <f>26884232-1213018-3037474</f>
        <v>22633740</v>
      </c>
      <c r="G177" s="43"/>
      <c r="H177" s="43"/>
      <c r="I177" s="43"/>
      <c r="J177" s="43"/>
      <c r="K177" s="43"/>
      <c r="L177" s="38"/>
      <c r="M177" s="43"/>
      <c r="N177" s="38"/>
      <c r="O177" s="38"/>
      <c r="P177" s="252">
        <f t="shared" si="22"/>
        <v>22633740</v>
      </c>
    </row>
    <row r="178" spans="1:16" s="40" customFormat="1" ht="42.75" customHeight="1">
      <c r="A178" s="259" t="s">
        <v>715</v>
      </c>
      <c r="B178" s="72" t="s">
        <v>668</v>
      </c>
      <c r="C178" s="72" t="s">
        <v>426</v>
      </c>
      <c r="D178" s="44" t="s">
        <v>669</v>
      </c>
      <c r="E178" s="43">
        <f t="shared" si="21"/>
        <v>650860</v>
      </c>
      <c r="F178" s="43">
        <v>650860</v>
      </c>
      <c r="G178" s="43"/>
      <c r="H178" s="43"/>
      <c r="I178" s="43"/>
      <c r="J178" s="43"/>
      <c r="K178" s="43"/>
      <c r="L178" s="38"/>
      <c r="M178" s="43"/>
      <c r="N178" s="38"/>
      <c r="O178" s="38"/>
      <c r="P178" s="252">
        <f t="shared" si="22"/>
        <v>650860</v>
      </c>
    </row>
    <row r="179" spans="1:16" s="40" customFormat="1" ht="36" customHeight="1">
      <c r="A179" s="259" t="s">
        <v>716</v>
      </c>
      <c r="B179" s="72" t="s">
        <v>671</v>
      </c>
      <c r="C179" s="72" t="s">
        <v>426</v>
      </c>
      <c r="D179" s="86" t="s">
        <v>728</v>
      </c>
      <c r="E179" s="43">
        <f t="shared" si="21"/>
        <v>14261987</v>
      </c>
      <c r="F179" s="43">
        <v>14261987</v>
      </c>
      <c r="G179" s="43"/>
      <c r="H179" s="43"/>
      <c r="I179" s="43"/>
      <c r="J179" s="43"/>
      <c r="K179" s="43"/>
      <c r="L179" s="38"/>
      <c r="M179" s="43"/>
      <c r="N179" s="38"/>
      <c r="O179" s="38"/>
      <c r="P179" s="252">
        <f t="shared" si="22"/>
        <v>14261987</v>
      </c>
    </row>
    <row r="180" spans="1:16" s="40" customFormat="1" ht="36" customHeight="1">
      <c r="A180" s="253" t="s">
        <v>258</v>
      </c>
      <c r="B180" s="41" t="s">
        <v>677</v>
      </c>
      <c r="C180" s="41" t="s">
        <v>426</v>
      </c>
      <c r="D180" s="86" t="s">
        <v>259</v>
      </c>
      <c r="E180" s="43">
        <f t="shared" si="21"/>
        <v>151896</v>
      </c>
      <c r="F180" s="43">
        <f>36722+115174</f>
        <v>151896</v>
      </c>
      <c r="G180" s="43"/>
      <c r="H180" s="43"/>
      <c r="I180" s="43"/>
      <c r="J180" s="43"/>
      <c r="K180" s="43"/>
      <c r="L180" s="38"/>
      <c r="M180" s="43"/>
      <c r="N180" s="38"/>
      <c r="O180" s="38"/>
      <c r="P180" s="252">
        <f t="shared" si="22"/>
        <v>151896</v>
      </c>
    </row>
    <row r="181" spans="1:16" s="40" customFormat="1" ht="57.75" customHeight="1">
      <c r="A181" s="253" t="s">
        <v>717</v>
      </c>
      <c r="B181" s="41" t="s">
        <v>680</v>
      </c>
      <c r="C181" s="41" t="s">
        <v>605</v>
      </c>
      <c r="D181" s="44" t="s">
        <v>681</v>
      </c>
      <c r="E181" s="43">
        <f t="shared" si="21"/>
        <v>73148</v>
      </c>
      <c r="F181" s="43">
        <v>73148</v>
      </c>
      <c r="G181" s="43"/>
      <c r="H181" s="43"/>
      <c r="I181" s="43"/>
      <c r="J181" s="43"/>
      <c r="K181" s="43"/>
      <c r="L181" s="38"/>
      <c r="M181" s="43"/>
      <c r="N181" s="38"/>
      <c r="O181" s="38"/>
      <c r="P181" s="252">
        <f t="shared" si="22"/>
        <v>73148</v>
      </c>
    </row>
    <row r="182" spans="1:16" s="40" customFormat="1" ht="54.75" customHeight="1">
      <c r="A182" s="253" t="s">
        <v>720</v>
      </c>
      <c r="B182" s="41" t="s">
        <v>721</v>
      </c>
      <c r="C182" s="41" t="s">
        <v>539</v>
      </c>
      <c r="D182" s="44" t="s">
        <v>722</v>
      </c>
      <c r="E182" s="43">
        <f t="shared" si="21"/>
        <v>16373803</v>
      </c>
      <c r="F182" s="43">
        <v>16373803</v>
      </c>
      <c r="G182" s="43"/>
      <c r="H182" s="43"/>
      <c r="I182" s="43"/>
      <c r="J182" s="43"/>
      <c r="K182" s="43"/>
      <c r="L182" s="38"/>
      <c r="M182" s="43"/>
      <c r="N182" s="38"/>
      <c r="O182" s="38"/>
      <c r="P182" s="252">
        <f t="shared" si="22"/>
        <v>16373803</v>
      </c>
    </row>
    <row r="183" spans="1:16" s="40" customFormat="1" ht="78" customHeight="1">
      <c r="A183" s="253" t="s">
        <v>729</v>
      </c>
      <c r="B183" s="41" t="s">
        <v>730</v>
      </c>
      <c r="C183" s="41" t="s">
        <v>539</v>
      </c>
      <c r="D183" s="44" t="s">
        <v>731</v>
      </c>
      <c r="E183" s="43">
        <f t="shared" si="21"/>
        <v>3543244</v>
      </c>
      <c r="F183" s="43">
        <v>3543244</v>
      </c>
      <c r="G183" s="43"/>
      <c r="H183" s="43"/>
      <c r="I183" s="43"/>
      <c r="J183" s="43"/>
      <c r="K183" s="43"/>
      <c r="L183" s="38"/>
      <c r="M183" s="43"/>
      <c r="N183" s="38"/>
      <c r="O183" s="38"/>
      <c r="P183" s="252">
        <f t="shared" si="22"/>
        <v>3543244</v>
      </c>
    </row>
    <row r="184" spans="1:16" s="40" customFormat="1" ht="58.5" customHeight="1">
      <c r="A184" s="253" t="s">
        <v>723</v>
      </c>
      <c r="B184" s="41" t="s">
        <v>724</v>
      </c>
      <c r="C184" s="41" t="s">
        <v>539</v>
      </c>
      <c r="D184" s="44" t="s">
        <v>725</v>
      </c>
      <c r="E184" s="43">
        <f t="shared" si="21"/>
        <v>2647159</v>
      </c>
      <c r="F184" s="43">
        <v>2647159</v>
      </c>
      <c r="G184" s="43"/>
      <c r="H184" s="43"/>
      <c r="I184" s="43"/>
      <c r="J184" s="43"/>
      <c r="K184" s="43"/>
      <c r="L184" s="38"/>
      <c r="M184" s="43"/>
      <c r="N184" s="38"/>
      <c r="O184" s="38"/>
      <c r="P184" s="252">
        <f t="shared" si="22"/>
        <v>2647159</v>
      </c>
    </row>
    <row r="185" spans="1:16" s="40" customFormat="1" ht="78" customHeight="1">
      <c r="A185" s="253" t="s">
        <v>732</v>
      </c>
      <c r="B185" s="41" t="s">
        <v>733</v>
      </c>
      <c r="C185" s="41" t="s">
        <v>426</v>
      </c>
      <c r="D185" s="44" t="s">
        <v>734</v>
      </c>
      <c r="E185" s="43">
        <f t="shared" si="21"/>
        <v>1015046</v>
      </c>
      <c r="F185" s="43">
        <f>298650+716396</f>
        <v>1015046</v>
      </c>
      <c r="G185" s="43"/>
      <c r="H185" s="43"/>
      <c r="I185" s="43"/>
      <c r="J185" s="43"/>
      <c r="K185" s="43"/>
      <c r="L185" s="38"/>
      <c r="M185" s="43"/>
      <c r="N185" s="38"/>
      <c r="O185" s="38"/>
      <c r="P185" s="252">
        <f t="shared" si="22"/>
        <v>1015046</v>
      </c>
    </row>
    <row r="186" spans="1:16" s="40" customFormat="1" ht="75">
      <c r="A186" s="253" t="s">
        <v>735</v>
      </c>
      <c r="B186" s="41" t="s">
        <v>736</v>
      </c>
      <c r="C186" s="41" t="s">
        <v>539</v>
      </c>
      <c r="D186" s="44" t="s">
        <v>737</v>
      </c>
      <c r="E186" s="43">
        <f t="shared" si="21"/>
        <v>30554</v>
      </c>
      <c r="F186" s="43">
        <v>30554</v>
      </c>
      <c r="G186" s="43"/>
      <c r="H186" s="43"/>
      <c r="I186" s="43"/>
      <c r="J186" s="43"/>
      <c r="K186" s="43"/>
      <c r="L186" s="38"/>
      <c r="M186" s="43"/>
      <c r="N186" s="38"/>
      <c r="O186" s="38"/>
      <c r="P186" s="252">
        <f t="shared" si="22"/>
        <v>30554</v>
      </c>
    </row>
    <row r="187" spans="1:16" s="40" customFormat="1" ht="37.5">
      <c r="A187" s="253" t="s">
        <v>260</v>
      </c>
      <c r="B187" s="41" t="s">
        <v>261</v>
      </c>
      <c r="C187" s="41" t="s">
        <v>426</v>
      </c>
      <c r="D187" s="44" t="s">
        <v>262</v>
      </c>
      <c r="E187" s="43">
        <f t="shared" si="21"/>
        <v>3382200</v>
      </c>
      <c r="F187" s="43">
        <f>459900+2922300</f>
        <v>3382200</v>
      </c>
      <c r="G187" s="43"/>
      <c r="H187" s="43"/>
      <c r="I187" s="43"/>
      <c r="J187" s="43"/>
      <c r="K187" s="43"/>
      <c r="L187" s="38"/>
      <c r="M187" s="43"/>
      <c r="N187" s="38"/>
      <c r="O187" s="38"/>
      <c r="P187" s="252">
        <f t="shared" si="22"/>
        <v>3382200</v>
      </c>
    </row>
    <row r="188" spans="1:16" s="40" customFormat="1" ht="50.25" customHeight="1">
      <c r="A188" s="253" t="s">
        <v>726</v>
      </c>
      <c r="B188" s="41" t="s">
        <v>686</v>
      </c>
      <c r="C188" s="41" t="s">
        <v>433</v>
      </c>
      <c r="D188" s="44" t="s">
        <v>727</v>
      </c>
      <c r="E188" s="43">
        <f t="shared" si="21"/>
        <v>59520</v>
      </c>
      <c r="F188" s="43">
        <v>59520</v>
      </c>
      <c r="G188" s="43"/>
      <c r="H188" s="43"/>
      <c r="I188" s="43"/>
      <c r="J188" s="43"/>
      <c r="K188" s="43"/>
      <c r="L188" s="38"/>
      <c r="M188" s="43"/>
      <c r="N188" s="38"/>
      <c r="O188" s="38"/>
      <c r="P188" s="252">
        <f t="shared" si="22"/>
        <v>59520</v>
      </c>
    </row>
    <row r="189" spans="1:16" s="40" customFormat="1" ht="96" customHeight="1" hidden="1">
      <c r="A189" s="253" t="s">
        <v>738</v>
      </c>
      <c r="B189" s="41" t="s">
        <v>739</v>
      </c>
      <c r="C189" s="41"/>
      <c r="D189" s="44" t="s">
        <v>740</v>
      </c>
      <c r="E189" s="43">
        <f>E190+E191+E192+E195+E196+E197</f>
        <v>7218528</v>
      </c>
      <c r="F189" s="43">
        <f aca="true" t="shared" si="23" ref="F189:O189">F190+F191+F192+F195+F196+F197</f>
        <v>7218528</v>
      </c>
      <c r="G189" s="43">
        <f t="shared" si="23"/>
        <v>5338276</v>
      </c>
      <c r="H189" s="43">
        <f t="shared" si="23"/>
        <v>431737</v>
      </c>
      <c r="I189" s="43">
        <f t="shared" si="23"/>
        <v>0</v>
      </c>
      <c r="J189" s="43">
        <f t="shared" si="23"/>
        <v>44590</v>
      </c>
      <c r="K189" s="43">
        <f t="shared" si="23"/>
        <v>0</v>
      </c>
      <c r="L189" s="43">
        <f t="shared" si="23"/>
        <v>44590</v>
      </c>
      <c r="M189" s="43">
        <f t="shared" si="23"/>
        <v>0</v>
      </c>
      <c r="N189" s="43">
        <f t="shared" si="23"/>
        <v>5948</v>
      </c>
      <c r="O189" s="43">
        <f t="shared" si="23"/>
        <v>0</v>
      </c>
      <c r="P189" s="252">
        <f t="shared" si="22"/>
        <v>7263118</v>
      </c>
    </row>
    <row r="190" spans="1:16" s="40" customFormat="1" ht="78.75" customHeight="1">
      <c r="A190" s="253" t="s">
        <v>741</v>
      </c>
      <c r="B190" s="41" t="s">
        <v>742</v>
      </c>
      <c r="C190" s="41" t="s">
        <v>543</v>
      </c>
      <c r="D190" s="44" t="s">
        <v>743</v>
      </c>
      <c r="E190" s="43">
        <f>F190</f>
        <v>3686999</v>
      </c>
      <c r="F190" s="43">
        <f>3540434+146565</f>
        <v>3686999</v>
      </c>
      <c r="G190" s="43">
        <f>3402437+146565</f>
        <v>3549002</v>
      </c>
      <c r="H190" s="43">
        <f>136922+342</f>
        <v>137264</v>
      </c>
      <c r="I190" s="38"/>
      <c r="J190" s="43">
        <f>K190+L190</f>
        <v>44590</v>
      </c>
      <c r="K190" s="43"/>
      <c r="L190" s="43">
        <v>44590</v>
      </c>
      <c r="M190" s="43"/>
      <c r="N190" s="43">
        <v>5948</v>
      </c>
      <c r="O190" s="43"/>
      <c r="P190" s="252">
        <f t="shared" si="22"/>
        <v>3731589</v>
      </c>
    </row>
    <row r="191" spans="1:16" s="40" customFormat="1" ht="37.5">
      <c r="A191" s="253" t="s">
        <v>744</v>
      </c>
      <c r="B191" s="41" t="s">
        <v>745</v>
      </c>
      <c r="C191" s="41" t="s">
        <v>539</v>
      </c>
      <c r="D191" s="44" t="s">
        <v>746</v>
      </c>
      <c r="E191" s="43">
        <f>F191</f>
        <v>1658031</v>
      </c>
      <c r="F191" s="43">
        <v>1658031</v>
      </c>
      <c r="G191" s="43">
        <v>1278810</v>
      </c>
      <c r="H191" s="43">
        <f>259491+554</f>
        <v>260045</v>
      </c>
      <c r="I191" s="38"/>
      <c r="J191" s="38"/>
      <c r="K191" s="38"/>
      <c r="L191" s="38"/>
      <c r="M191" s="38"/>
      <c r="N191" s="38"/>
      <c r="O191" s="38"/>
      <c r="P191" s="252">
        <f t="shared" si="22"/>
        <v>1658031</v>
      </c>
    </row>
    <row r="192" spans="1:16" s="50" customFormat="1" ht="37.5" hidden="1">
      <c r="A192" s="251" t="s">
        <v>747</v>
      </c>
      <c r="B192" s="36" t="s">
        <v>748</v>
      </c>
      <c r="C192" s="36"/>
      <c r="D192" s="37" t="s">
        <v>749</v>
      </c>
      <c r="E192" s="38">
        <f>E193+E194</f>
        <v>558450</v>
      </c>
      <c r="F192" s="38">
        <f aca="true" t="shared" si="24" ref="F192:O192">F193+F194</f>
        <v>558450</v>
      </c>
      <c r="G192" s="38">
        <f t="shared" si="24"/>
        <v>510464</v>
      </c>
      <c r="H192" s="38">
        <f t="shared" si="24"/>
        <v>34428</v>
      </c>
      <c r="I192" s="38">
        <f t="shared" si="24"/>
        <v>0</v>
      </c>
      <c r="J192" s="38">
        <f t="shared" si="24"/>
        <v>0</v>
      </c>
      <c r="K192" s="38">
        <f t="shared" si="24"/>
        <v>0</v>
      </c>
      <c r="L192" s="38">
        <f t="shared" si="24"/>
        <v>0</v>
      </c>
      <c r="M192" s="38">
        <f t="shared" si="24"/>
        <v>0</v>
      </c>
      <c r="N192" s="38">
        <f t="shared" si="24"/>
        <v>0</v>
      </c>
      <c r="O192" s="38">
        <f t="shared" si="24"/>
        <v>0</v>
      </c>
      <c r="P192" s="252">
        <f t="shared" si="22"/>
        <v>558450</v>
      </c>
    </row>
    <row r="193" spans="1:16" s="40" customFormat="1" ht="42.75" customHeight="1">
      <c r="A193" s="253" t="s">
        <v>750</v>
      </c>
      <c r="B193" s="41" t="s">
        <v>751</v>
      </c>
      <c r="C193" s="41" t="s">
        <v>426</v>
      </c>
      <c r="D193" s="44" t="s">
        <v>752</v>
      </c>
      <c r="E193" s="43">
        <f>F193</f>
        <v>555450</v>
      </c>
      <c r="F193" s="43">
        <f>555450</f>
        <v>555450</v>
      </c>
      <c r="G193" s="43">
        <v>510464</v>
      </c>
      <c r="H193" s="43">
        <v>34428</v>
      </c>
      <c r="I193" s="43"/>
      <c r="J193" s="43"/>
      <c r="K193" s="43"/>
      <c r="L193" s="43"/>
      <c r="M193" s="43"/>
      <c r="N193" s="43"/>
      <c r="O193" s="43"/>
      <c r="P193" s="252">
        <f t="shared" si="22"/>
        <v>555450</v>
      </c>
    </row>
    <row r="194" spans="1:16" s="40" customFormat="1" ht="18.75">
      <c r="A194" s="253" t="s">
        <v>753</v>
      </c>
      <c r="B194" s="41" t="s">
        <v>754</v>
      </c>
      <c r="C194" s="41" t="s">
        <v>426</v>
      </c>
      <c r="D194" s="44" t="s">
        <v>755</v>
      </c>
      <c r="E194" s="43">
        <f>F194</f>
        <v>3000</v>
      </c>
      <c r="F194" s="43">
        <v>3000</v>
      </c>
      <c r="G194" s="43"/>
      <c r="H194" s="43"/>
      <c r="I194" s="38"/>
      <c r="J194" s="38"/>
      <c r="K194" s="38"/>
      <c r="L194" s="38"/>
      <c r="M194" s="38"/>
      <c r="N194" s="38"/>
      <c r="O194" s="38"/>
      <c r="P194" s="252">
        <f t="shared" si="22"/>
        <v>3000</v>
      </c>
    </row>
    <row r="195" spans="1:16" s="40" customFormat="1" ht="112.5">
      <c r="A195" s="253" t="s">
        <v>756</v>
      </c>
      <c r="B195" s="41" t="s">
        <v>757</v>
      </c>
      <c r="C195" s="41" t="s">
        <v>539</v>
      </c>
      <c r="D195" s="44" t="s">
        <v>758</v>
      </c>
      <c r="E195" s="43">
        <f>F195</f>
        <v>480447</v>
      </c>
      <c r="F195" s="43">
        <f>384957+95490</f>
        <v>480447</v>
      </c>
      <c r="G195" s="43"/>
      <c r="H195" s="43"/>
      <c r="I195" s="43"/>
      <c r="J195" s="43"/>
      <c r="K195" s="43"/>
      <c r="L195" s="43"/>
      <c r="M195" s="43"/>
      <c r="N195" s="43"/>
      <c r="O195" s="43"/>
      <c r="P195" s="252">
        <f t="shared" si="22"/>
        <v>480447</v>
      </c>
    </row>
    <row r="196" spans="1:16" s="40" customFormat="1" ht="112.5">
      <c r="A196" s="254" t="s">
        <v>759</v>
      </c>
      <c r="B196" s="45" t="s">
        <v>760</v>
      </c>
      <c r="C196" s="45" t="s">
        <v>590</v>
      </c>
      <c r="D196" s="76" t="s">
        <v>761</v>
      </c>
      <c r="E196" s="79">
        <f>F196</f>
        <v>266000</v>
      </c>
      <c r="F196" s="79">
        <v>266000</v>
      </c>
      <c r="G196" s="79"/>
      <c r="H196" s="79"/>
      <c r="I196" s="65"/>
      <c r="J196" s="79"/>
      <c r="K196" s="79"/>
      <c r="L196" s="65"/>
      <c r="M196" s="65"/>
      <c r="N196" s="65"/>
      <c r="O196" s="65"/>
      <c r="P196" s="258">
        <f t="shared" si="22"/>
        <v>266000</v>
      </c>
    </row>
    <row r="197" spans="1:16" s="40" customFormat="1" ht="44.25" customHeight="1" hidden="1">
      <c r="A197" s="253" t="s">
        <v>762</v>
      </c>
      <c r="B197" s="41" t="s">
        <v>429</v>
      </c>
      <c r="C197" s="52"/>
      <c r="D197" s="42" t="s">
        <v>430</v>
      </c>
      <c r="E197" s="79">
        <f>E198+E199</f>
        <v>568601</v>
      </c>
      <c r="F197" s="79">
        <f aca="true" t="shared" si="25" ref="F197:O197">F198+F199</f>
        <v>568601</v>
      </c>
      <c r="G197" s="79">
        <f t="shared" si="25"/>
        <v>0</v>
      </c>
      <c r="H197" s="79">
        <f t="shared" si="25"/>
        <v>0</v>
      </c>
      <c r="I197" s="79">
        <f t="shared" si="25"/>
        <v>0</v>
      </c>
      <c r="J197" s="79">
        <f t="shared" si="25"/>
        <v>0</v>
      </c>
      <c r="K197" s="79">
        <f t="shared" si="25"/>
        <v>0</v>
      </c>
      <c r="L197" s="79">
        <f t="shared" si="25"/>
        <v>0</v>
      </c>
      <c r="M197" s="79">
        <f t="shared" si="25"/>
        <v>0</v>
      </c>
      <c r="N197" s="79">
        <f t="shared" si="25"/>
        <v>0</v>
      </c>
      <c r="O197" s="79">
        <f t="shared" si="25"/>
        <v>0</v>
      </c>
      <c r="P197" s="258">
        <f t="shared" si="22"/>
        <v>568601</v>
      </c>
    </row>
    <row r="198" spans="1:16" s="40" customFormat="1" ht="37.5">
      <c r="A198" s="253" t="s">
        <v>763</v>
      </c>
      <c r="B198" s="41" t="s">
        <v>432</v>
      </c>
      <c r="C198" s="41" t="s">
        <v>433</v>
      </c>
      <c r="D198" s="44" t="s">
        <v>434</v>
      </c>
      <c r="E198" s="79">
        <f>F198</f>
        <v>268601</v>
      </c>
      <c r="F198" s="43">
        <f>235601+33000</f>
        <v>268601</v>
      </c>
      <c r="G198" s="43"/>
      <c r="H198" s="43"/>
      <c r="I198" s="38"/>
      <c r="J198" s="43"/>
      <c r="K198" s="43"/>
      <c r="L198" s="38"/>
      <c r="M198" s="38"/>
      <c r="N198" s="38"/>
      <c r="O198" s="38"/>
      <c r="P198" s="258">
        <f t="shared" si="22"/>
        <v>268601</v>
      </c>
    </row>
    <row r="199" spans="1:16" s="40" customFormat="1" ht="56.25">
      <c r="A199" s="253" t="s">
        <v>764</v>
      </c>
      <c r="B199" s="41" t="s">
        <v>765</v>
      </c>
      <c r="C199" s="41" t="s">
        <v>433</v>
      </c>
      <c r="D199" s="44" t="s">
        <v>766</v>
      </c>
      <c r="E199" s="79">
        <f>F199</f>
        <v>300000</v>
      </c>
      <c r="F199" s="43">
        <f>300000</f>
        <v>300000</v>
      </c>
      <c r="G199" s="43"/>
      <c r="H199" s="43"/>
      <c r="I199" s="38"/>
      <c r="J199" s="43"/>
      <c r="K199" s="43"/>
      <c r="L199" s="38"/>
      <c r="M199" s="38"/>
      <c r="N199" s="38"/>
      <c r="O199" s="38"/>
      <c r="P199" s="258">
        <f t="shared" si="22"/>
        <v>300000</v>
      </c>
    </row>
    <row r="200" spans="1:16" s="40" customFormat="1" ht="258" customHeight="1" hidden="1">
      <c r="A200" s="259" t="s">
        <v>767</v>
      </c>
      <c r="B200" s="72" t="s">
        <v>768</v>
      </c>
      <c r="C200" s="72" t="s">
        <v>426</v>
      </c>
      <c r="D200" s="87" t="s">
        <v>769</v>
      </c>
      <c r="E200" s="79">
        <f>F200</f>
        <v>0</v>
      </c>
      <c r="F200" s="73"/>
      <c r="G200" s="73"/>
      <c r="H200" s="73"/>
      <c r="I200" s="85"/>
      <c r="J200" s="73"/>
      <c r="K200" s="73"/>
      <c r="L200" s="85"/>
      <c r="M200" s="85"/>
      <c r="N200" s="85"/>
      <c r="O200" s="85"/>
      <c r="P200" s="258">
        <f t="shared" si="22"/>
        <v>0</v>
      </c>
    </row>
    <row r="201" spans="1:16" s="40" customFormat="1" ht="18.75" hidden="1">
      <c r="A201" s="253" t="s">
        <v>770</v>
      </c>
      <c r="B201" s="41" t="s">
        <v>436</v>
      </c>
      <c r="C201" s="41"/>
      <c r="D201" s="82" t="s">
        <v>437</v>
      </c>
      <c r="E201" s="79">
        <f>E205</f>
        <v>805816</v>
      </c>
      <c r="F201" s="79">
        <f aca="true" t="shared" si="26" ref="F201:O201">F205</f>
        <v>805816</v>
      </c>
      <c r="G201" s="79">
        <f t="shared" si="26"/>
        <v>0</v>
      </c>
      <c r="H201" s="79">
        <f t="shared" si="26"/>
        <v>0</v>
      </c>
      <c r="I201" s="79">
        <f t="shared" si="26"/>
        <v>0</v>
      </c>
      <c r="J201" s="79">
        <f t="shared" si="26"/>
        <v>0</v>
      </c>
      <c r="K201" s="79">
        <f t="shared" si="26"/>
        <v>0</v>
      </c>
      <c r="L201" s="79">
        <f t="shared" si="26"/>
        <v>0</v>
      </c>
      <c r="M201" s="79">
        <f t="shared" si="26"/>
        <v>0</v>
      </c>
      <c r="N201" s="79">
        <f t="shared" si="26"/>
        <v>0</v>
      </c>
      <c r="O201" s="79">
        <f t="shared" si="26"/>
        <v>0</v>
      </c>
      <c r="P201" s="258">
        <f t="shared" si="22"/>
        <v>805816</v>
      </c>
    </row>
    <row r="202" spans="1:16" s="40" customFormat="1" ht="18.75" hidden="1">
      <c r="A202" s="254"/>
      <c r="B202" s="45"/>
      <c r="C202" s="45"/>
      <c r="D202" s="67"/>
      <c r="E202" s="79">
        <f>F202</f>
        <v>0</v>
      </c>
      <c r="F202" s="79"/>
      <c r="G202" s="79"/>
      <c r="H202" s="79"/>
      <c r="I202" s="65"/>
      <c r="J202" s="65"/>
      <c r="K202" s="65"/>
      <c r="L202" s="65"/>
      <c r="M202" s="65"/>
      <c r="N202" s="65"/>
      <c r="O202" s="65"/>
      <c r="P202" s="258">
        <f t="shared" si="22"/>
        <v>0</v>
      </c>
    </row>
    <row r="203" spans="1:16" s="40" customFormat="1" ht="18.75">
      <c r="A203" s="253" t="s">
        <v>307</v>
      </c>
      <c r="B203" s="41" t="s">
        <v>49</v>
      </c>
      <c r="C203" s="41" t="s">
        <v>50</v>
      </c>
      <c r="D203" s="44" t="s">
        <v>51</v>
      </c>
      <c r="E203" s="43">
        <f>F203+I203</f>
        <v>13819</v>
      </c>
      <c r="F203" s="43">
        <v>13819</v>
      </c>
      <c r="G203" s="43">
        <v>13819</v>
      </c>
      <c r="H203" s="43"/>
      <c r="I203" s="38"/>
      <c r="J203" s="38"/>
      <c r="K203" s="38"/>
      <c r="L203" s="38"/>
      <c r="M203" s="38"/>
      <c r="N203" s="38"/>
      <c r="O203" s="38"/>
      <c r="P203" s="258">
        <f t="shared" si="22"/>
        <v>13819</v>
      </c>
    </row>
    <row r="204" spans="1:16" s="40" customFormat="1" ht="252" customHeight="1">
      <c r="A204" s="260" t="s">
        <v>767</v>
      </c>
      <c r="B204" s="75" t="s">
        <v>768</v>
      </c>
      <c r="C204" s="75" t="s">
        <v>426</v>
      </c>
      <c r="D204" s="88" t="s">
        <v>898</v>
      </c>
      <c r="E204" s="79">
        <f>F204</f>
        <v>568700</v>
      </c>
      <c r="F204" s="77">
        <f>518700+50000</f>
        <v>568700</v>
      </c>
      <c r="G204" s="77"/>
      <c r="H204" s="77"/>
      <c r="I204" s="89"/>
      <c r="J204" s="89"/>
      <c r="K204" s="89"/>
      <c r="L204" s="89"/>
      <c r="M204" s="89"/>
      <c r="N204" s="89"/>
      <c r="O204" s="89"/>
      <c r="P204" s="258">
        <f t="shared" si="22"/>
        <v>568700</v>
      </c>
    </row>
    <row r="205" spans="1:16" s="40" customFormat="1" ht="37.5">
      <c r="A205" s="259" t="s">
        <v>771</v>
      </c>
      <c r="B205" s="72" t="s">
        <v>439</v>
      </c>
      <c r="C205" s="72" t="s">
        <v>440</v>
      </c>
      <c r="D205" s="90" t="s">
        <v>441</v>
      </c>
      <c r="E205" s="73">
        <f>F205</f>
        <v>805816</v>
      </c>
      <c r="F205" s="73">
        <f>781701+10000+14115</f>
        <v>805816</v>
      </c>
      <c r="G205" s="73"/>
      <c r="H205" s="73"/>
      <c r="I205" s="85"/>
      <c r="J205" s="85"/>
      <c r="K205" s="85"/>
      <c r="L205" s="85"/>
      <c r="M205" s="85"/>
      <c r="N205" s="85"/>
      <c r="O205" s="85"/>
      <c r="P205" s="264">
        <f t="shared" si="22"/>
        <v>805816</v>
      </c>
    </row>
    <row r="206" spans="1:16" s="40" customFormat="1" ht="37.5">
      <c r="A206" s="253" t="s">
        <v>772</v>
      </c>
      <c r="B206" s="41" t="s">
        <v>510</v>
      </c>
      <c r="C206" s="41" t="s">
        <v>486</v>
      </c>
      <c r="D206" s="44" t="s">
        <v>511</v>
      </c>
      <c r="E206" s="43">
        <f>F206</f>
        <v>66042</v>
      </c>
      <c r="F206" s="43">
        <f>19210+16392+30440</f>
        <v>66042</v>
      </c>
      <c r="G206" s="43"/>
      <c r="H206" s="43"/>
      <c r="I206" s="38"/>
      <c r="J206" s="38"/>
      <c r="K206" s="38"/>
      <c r="L206" s="38"/>
      <c r="M206" s="38"/>
      <c r="N206" s="38"/>
      <c r="O206" s="38"/>
      <c r="P206" s="252">
        <f t="shared" si="22"/>
        <v>66042</v>
      </c>
    </row>
    <row r="207" spans="1:16" s="40" customFormat="1" ht="38.25" thickBot="1">
      <c r="A207" s="255" t="s">
        <v>773</v>
      </c>
      <c r="B207" s="59" t="s">
        <v>774</v>
      </c>
      <c r="C207" s="59" t="s">
        <v>519</v>
      </c>
      <c r="D207" s="71" t="s">
        <v>775</v>
      </c>
      <c r="E207" s="61">
        <f>F207</f>
        <v>100000</v>
      </c>
      <c r="F207" s="61">
        <f>100000</f>
        <v>100000</v>
      </c>
      <c r="G207" s="61"/>
      <c r="H207" s="61"/>
      <c r="I207" s="62"/>
      <c r="J207" s="62"/>
      <c r="K207" s="62"/>
      <c r="L207" s="62"/>
      <c r="M207" s="62"/>
      <c r="N207" s="62"/>
      <c r="O207" s="62"/>
      <c r="P207" s="256">
        <f t="shared" si="22"/>
        <v>100000</v>
      </c>
    </row>
    <row r="208" spans="1:16" s="40" customFormat="1" ht="37.5">
      <c r="A208" s="257" t="s">
        <v>776</v>
      </c>
      <c r="B208" s="63"/>
      <c r="C208" s="63"/>
      <c r="D208" s="64" t="s">
        <v>777</v>
      </c>
      <c r="E208" s="65">
        <f>E209</f>
        <v>25815559</v>
      </c>
      <c r="F208" s="65">
        <f aca="true" t="shared" si="27" ref="F208:O208">F209</f>
        <v>25815559</v>
      </c>
      <c r="G208" s="65">
        <f t="shared" si="27"/>
        <v>20673371</v>
      </c>
      <c r="H208" s="65">
        <f t="shared" si="27"/>
        <v>3390044</v>
      </c>
      <c r="I208" s="65"/>
      <c r="J208" s="65">
        <f t="shared" si="27"/>
        <v>2264315</v>
      </c>
      <c r="K208" s="65">
        <f t="shared" si="27"/>
        <v>1374485</v>
      </c>
      <c r="L208" s="65">
        <f t="shared" si="27"/>
        <v>889830</v>
      </c>
      <c r="M208" s="65">
        <f t="shared" si="27"/>
        <v>706780</v>
      </c>
      <c r="N208" s="65">
        <f t="shared" si="27"/>
        <v>9635</v>
      </c>
      <c r="O208" s="65">
        <f t="shared" si="27"/>
        <v>1374485</v>
      </c>
      <c r="P208" s="258">
        <f t="shared" si="22"/>
        <v>28079874</v>
      </c>
    </row>
    <row r="209" spans="1:16" s="40" customFormat="1" ht="37.5">
      <c r="A209" s="257" t="s">
        <v>778</v>
      </c>
      <c r="B209" s="63"/>
      <c r="C209" s="63"/>
      <c r="D209" s="64" t="s">
        <v>777</v>
      </c>
      <c r="E209" s="65">
        <f>E210+E211+E212+E213+E214+E216+E217+E220</f>
        <v>25815559</v>
      </c>
      <c r="F209" s="65">
        <f>F210+F211+F212+F213+F214+F216+F217+F220+F221</f>
        <v>25815559</v>
      </c>
      <c r="G209" s="65">
        <f aca="true" t="shared" si="28" ref="G209:O209">G210+G211+G212+G213+G214+G216+G217+G220+G221</f>
        <v>20673371</v>
      </c>
      <c r="H209" s="65">
        <f t="shared" si="28"/>
        <v>3390044</v>
      </c>
      <c r="I209" s="65"/>
      <c r="J209" s="65">
        <f t="shared" si="28"/>
        <v>2264315</v>
      </c>
      <c r="K209" s="65">
        <f t="shared" si="28"/>
        <v>1374485</v>
      </c>
      <c r="L209" s="65">
        <f t="shared" si="28"/>
        <v>889830</v>
      </c>
      <c r="M209" s="65">
        <f t="shared" si="28"/>
        <v>706780</v>
      </c>
      <c r="N209" s="65">
        <f t="shared" si="28"/>
        <v>9635</v>
      </c>
      <c r="O209" s="65">
        <f t="shared" si="28"/>
        <v>1374485</v>
      </c>
      <c r="P209" s="252">
        <f t="shared" si="22"/>
        <v>28079874</v>
      </c>
    </row>
    <row r="210" spans="1:16" s="40" customFormat="1" ht="56.25">
      <c r="A210" s="253" t="s">
        <v>779</v>
      </c>
      <c r="B210" s="41" t="s">
        <v>536</v>
      </c>
      <c r="C210" s="41" t="s">
        <v>389</v>
      </c>
      <c r="D210" s="44" t="s">
        <v>537</v>
      </c>
      <c r="E210" s="43">
        <f>F210</f>
        <v>723190</v>
      </c>
      <c r="F210" s="43">
        <v>723190</v>
      </c>
      <c r="G210" s="43">
        <v>696904</v>
      </c>
      <c r="H210" s="43">
        <f>18072+96</f>
        <v>18168</v>
      </c>
      <c r="I210" s="38"/>
      <c r="J210" s="38"/>
      <c r="K210" s="38"/>
      <c r="L210" s="38"/>
      <c r="M210" s="38"/>
      <c r="N210" s="38"/>
      <c r="O210" s="38"/>
      <c r="P210" s="252">
        <f>E210+J210</f>
        <v>723190</v>
      </c>
    </row>
    <row r="211" spans="1:16" s="40" customFormat="1" ht="77.25" customHeight="1">
      <c r="A211" s="253" t="s">
        <v>780</v>
      </c>
      <c r="B211" s="41" t="s">
        <v>781</v>
      </c>
      <c r="C211" s="41" t="s">
        <v>550</v>
      </c>
      <c r="D211" s="44" t="s">
        <v>782</v>
      </c>
      <c r="E211" s="43">
        <f>F211</f>
        <v>11844249</v>
      </c>
      <c r="F211" s="43">
        <f>66068+G211+H211-19303+15956</f>
        <v>11844249</v>
      </c>
      <c r="G211" s="43">
        <f>8253542+1815780</f>
        <v>10069322</v>
      </c>
      <c r="H211" s="43">
        <f>1369611+20864+41272+261156+19303</f>
        <v>1712206</v>
      </c>
      <c r="I211" s="38"/>
      <c r="J211" s="43">
        <f>L211+O211</f>
        <v>743090</v>
      </c>
      <c r="K211" s="43">
        <f>14980</f>
        <v>14980</v>
      </c>
      <c r="L211" s="43">
        <f>14859+1258+N211+M211</f>
        <v>728110</v>
      </c>
      <c r="M211" s="43">
        <f>579328+127452</f>
        <v>706780</v>
      </c>
      <c r="N211" s="43">
        <v>5213</v>
      </c>
      <c r="O211" s="43">
        <f>K211</f>
        <v>14980</v>
      </c>
      <c r="P211" s="252">
        <f aca="true" t="shared" si="29" ref="P211:P223">E211+J211</f>
        <v>12587339</v>
      </c>
    </row>
    <row r="212" spans="1:16" s="40" customFormat="1" ht="18.75">
      <c r="A212" s="253" t="s">
        <v>783</v>
      </c>
      <c r="B212" s="41" t="s">
        <v>784</v>
      </c>
      <c r="C212" s="41" t="s">
        <v>785</v>
      </c>
      <c r="D212" s="44" t="s">
        <v>786</v>
      </c>
      <c r="E212" s="43">
        <f>F212</f>
        <v>4196353</v>
      </c>
      <c r="F212" s="43">
        <f>130355+G212+H212-3699</f>
        <v>4196353</v>
      </c>
      <c r="G212" s="43">
        <f>3047146+670454</f>
        <v>3717600</v>
      </c>
      <c r="H212" s="43">
        <f>107476+5020+44163+149232+8657+3699+33850</f>
        <v>352097</v>
      </c>
      <c r="I212" s="43"/>
      <c r="J212" s="43">
        <f>O212+L212</f>
        <v>276720</v>
      </c>
      <c r="K212" s="43">
        <f>270000</f>
        <v>270000</v>
      </c>
      <c r="L212" s="43">
        <v>6720</v>
      </c>
      <c r="M212" s="43"/>
      <c r="N212" s="43"/>
      <c r="O212" s="43">
        <f>K212</f>
        <v>270000</v>
      </c>
      <c r="P212" s="252">
        <f t="shared" si="29"/>
        <v>4473073</v>
      </c>
    </row>
    <row r="213" spans="1:16" s="40" customFormat="1" ht="23.25" customHeight="1">
      <c r="A213" s="253" t="s">
        <v>787</v>
      </c>
      <c r="B213" s="41" t="s">
        <v>788</v>
      </c>
      <c r="C213" s="41" t="s">
        <v>785</v>
      </c>
      <c r="D213" s="44" t="s">
        <v>789</v>
      </c>
      <c r="E213" s="43">
        <f>F213</f>
        <v>1059353</v>
      </c>
      <c r="F213" s="43">
        <f>61562+G213+H213-1327</f>
        <v>1059353</v>
      </c>
      <c r="G213" s="43">
        <f>541713+119177</f>
        <v>660890</v>
      </c>
      <c r="H213" s="43">
        <f>316542+2322+5601+12436+1327</f>
        <v>338228</v>
      </c>
      <c r="I213" s="43"/>
      <c r="J213" s="43">
        <f>O213+L213</f>
        <v>489942</v>
      </c>
      <c r="K213" s="43">
        <v>477442</v>
      </c>
      <c r="L213" s="43">
        <v>12500</v>
      </c>
      <c r="M213" s="43"/>
      <c r="N213" s="43"/>
      <c r="O213" s="43">
        <f>K213</f>
        <v>477442</v>
      </c>
      <c r="P213" s="252">
        <f t="shared" si="29"/>
        <v>1549295</v>
      </c>
    </row>
    <row r="214" spans="1:16" s="40" customFormat="1" ht="63.75" customHeight="1">
      <c r="A214" s="253" t="s">
        <v>790</v>
      </c>
      <c r="B214" s="41" t="s">
        <v>791</v>
      </c>
      <c r="C214" s="41" t="s">
        <v>792</v>
      </c>
      <c r="D214" s="42" t="s">
        <v>793</v>
      </c>
      <c r="E214" s="43">
        <f>F214</f>
        <v>6076733</v>
      </c>
      <c r="F214" s="43">
        <f>82111+G214+H214-15494+15444+31100+9092+35845+68956</f>
        <v>6076733</v>
      </c>
      <c r="G214" s="43">
        <f>3968645+873102+65467</f>
        <v>4907214</v>
      </c>
      <c r="H214" s="43">
        <f>706567+9594+78877+72129+56371+15494+3433</f>
        <v>942465</v>
      </c>
      <c r="I214" s="43"/>
      <c r="J214" s="43">
        <f>L214+O214</f>
        <v>734063</v>
      </c>
      <c r="K214" s="43">
        <f>291563+300000</f>
        <v>591563</v>
      </c>
      <c r="L214" s="43">
        <v>142500</v>
      </c>
      <c r="M214" s="43"/>
      <c r="N214" s="43">
        <v>4422</v>
      </c>
      <c r="O214" s="43">
        <f>K214</f>
        <v>591563</v>
      </c>
      <c r="P214" s="252">
        <f t="shared" si="29"/>
        <v>6810796</v>
      </c>
    </row>
    <row r="215" spans="1:16" s="40" customFormat="1" ht="37.5" hidden="1">
      <c r="A215" s="253" t="s">
        <v>794</v>
      </c>
      <c r="B215" s="41" t="s">
        <v>795</v>
      </c>
      <c r="C215" s="41"/>
      <c r="D215" s="44" t="s">
        <v>796</v>
      </c>
      <c r="E215" s="43">
        <f>E216+E217</f>
        <v>1835681</v>
      </c>
      <c r="F215" s="43">
        <f aca="true" t="shared" si="30" ref="F215:O215">F216+F217</f>
        <v>1835681</v>
      </c>
      <c r="G215" s="43">
        <f t="shared" si="30"/>
        <v>621441</v>
      </c>
      <c r="H215" s="43">
        <f t="shared" si="30"/>
        <v>26880</v>
      </c>
      <c r="I215" s="43">
        <f t="shared" si="30"/>
        <v>0</v>
      </c>
      <c r="J215" s="43">
        <f t="shared" si="30"/>
        <v>0</v>
      </c>
      <c r="K215" s="43">
        <f t="shared" si="30"/>
        <v>0</v>
      </c>
      <c r="L215" s="43">
        <f t="shared" si="30"/>
        <v>0</v>
      </c>
      <c r="M215" s="43">
        <f t="shared" si="30"/>
        <v>0</v>
      </c>
      <c r="N215" s="43">
        <f t="shared" si="30"/>
        <v>0</v>
      </c>
      <c r="O215" s="43">
        <f t="shared" si="30"/>
        <v>0</v>
      </c>
      <c r="P215" s="252">
        <f t="shared" si="29"/>
        <v>1835681</v>
      </c>
    </row>
    <row r="216" spans="1:16" s="40" customFormat="1" ht="37.5">
      <c r="A216" s="254" t="s">
        <v>797</v>
      </c>
      <c r="B216" s="45" t="s">
        <v>798</v>
      </c>
      <c r="C216" s="41" t="s">
        <v>799</v>
      </c>
      <c r="D216" s="67" t="s">
        <v>800</v>
      </c>
      <c r="E216" s="79">
        <f>F216</f>
        <v>634831</v>
      </c>
      <c r="F216" s="79">
        <f>30320+G216+H216-195</f>
        <v>634831</v>
      </c>
      <c r="G216" s="79">
        <f>469666+108160</f>
        <v>577826</v>
      </c>
      <c r="H216" s="79">
        <f>16280+970+9435+195</f>
        <v>26880</v>
      </c>
      <c r="I216" s="79"/>
      <c r="J216" s="79"/>
      <c r="K216" s="79"/>
      <c r="L216" s="79"/>
      <c r="M216" s="79"/>
      <c r="N216" s="79"/>
      <c r="O216" s="79"/>
      <c r="P216" s="252">
        <f t="shared" si="29"/>
        <v>634831</v>
      </c>
    </row>
    <row r="217" spans="1:16" s="40" customFormat="1" ht="18.75">
      <c r="A217" s="253" t="s">
        <v>801</v>
      </c>
      <c r="B217" s="41" t="s">
        <v>802</v>
      </c>
      <c r="C217" s="91" t="s">
        <v>799</v>
      </c>
      <c r="D217" s="44" t="s">
        <v>803</v>
      </c>
      <c r="E217" s="43">
        <f>E218+E219</f>
        <v>1200850</v>
      </c>
      <c r="F217" s="43">
        <f>F218+F219</f>
        <v>1200850</v>
      </c>
      <c r="G217" s="43">
        <f>G218+G219</f>
        <v>43615</v>
      </c>
      <c r="H217" s="43"/>
      <c r="I217" s="43"/>
      <c r="J217" s="43"/>
      <c r="K217" s="43"/>
      <c r="L217" s="43"/>
      <c r="M217" s="43"/>
      <c r="N217" s="43"/>
      <c r="O217" s="43"/>
      <c r="P217" s="252">
        <f t="shared" si="29"/>
        <v>1200850</v>
      </c>
    </row>
    <row r="218" spans="1:16" s="40" customFormat="1" ht="56.25" hidden="1">
      <c r="A218" s="254"/>
      <c r="B218" s="45"/>
      <c r="C218" s="41"/>
      <c r="D218" s="42" t="s">
        <v>804</v>
      </c>
      <c r="E218" s="79">
        <f>F218</f>
        <v>1057281</v>
      </c>
      <c r="F218" s="92">
        <f>616431+50000-50000+200000+56000+184850</f>
        <v>1057281</v>
      </c>
      <c r="G218" s="79">
        <v>43615</v>
      </c>
      <c r="H218" s="79"/>
      <c r="I218" s="79"/>
      <c r="J218" s="79"/>
      <c r="K218" s="79"/>
      <c r="L218" s="79"/>
      <c r="M218" s="79"/>
      <c r="N218" s="79"/>
      <c r="O218" s="79"/>
      <c r="P218" s="252">
        <f t="shared" si="29"/>
        <v>1057281</v>
      </c>
    </row>
    <row r="219" spans="1:16" s="40" customFormat="1" ht="56.25" hidden="1">
      <c r="A219" s="254"/>
      <c r="B219" s="45"/>
      <c r="C219" s="41"/>
      <c r="D219" s="42" t="s">
        <v>805</v>
      </c>
      <c r="E219" s="79">
        <f>F219</f>
        <v>143569</v>
      </c>
      <c r="F219" s="92">
        <v>143569</v>
      </c>
      <c r="G219" s="79"/>
      <c r="H219" s="79"/>
      <c r="I219" s="79"/>
      <c r="J219" s="79"/>
      <c r="K219" s="79"/>
      <c r="L219" s="79"/>
      <c r="M219" s="79"/>
      <c r="N219" s="79"/>
      <c r="O219" s="79"/>
      <c r="P219" s="252">
        <f t="shared" si="29"/>
        <v>143569</v>
      </c>
    </row>
    <row r="220" spans="1:16" s="40" customFormat="1" ht="39.75" customHeight="1">
      <c r="A220" s="253" t="s">
        <v>806</v>
      </c>
      <c r="B220" s="41" t="s">
        <v>807</v>
      </c>
      <c r="C220" s="41" t="s">
        <v>808</v>
      </c>
      <c r="D220" s="42" t="s">
        <v>809</v>
      </c>
      <c r="E220" s="79">
        <f>F220</f>
        <v>80000</v>
      </c>
      <c r="F220" s="93">
        <f>50000+30000</f>
        <v>80000</v>
      </c>
      <c r="G220" s="79"/>
      <c r="H220" s="79"/>
      <c r="I220" s="79"/>
      <c r="J220" s="79"/>
      <c r="K220" s="79"/>
      <c r="L220" s="79"/>
      <c r="M220" s="79"/>
      <c r="N220" s="79"/>
      <c r="O220" s="79"/>
      <c r="P220" s="252">
        <f>E220+J220</f>
        <v>80000</v>
      </c>
    </row>
    <row r="221" spans="1:16" s="40" customFormat="1" ht="39.75" customHeight="1" thickBot="1">
      <c r="A221" s="255" t="s">
        <v>308</v>
      </c>
      <c r="B221" s="59" t="s">
        <v>510</v>
      </c>
      <c r="C221" s="59" t="s">
        <v>486</v>
      </c>
      <c r="D221" s="71" t="s">
        <v>511</v>
      </c>
      <c r="E221" s="79"/>
      <c r="F221" s="93"/>
      <c r="G221" s="79"/>
      <c r="H221" s="79"/>
      <c r="I221" s="79"/>
      <c r="J221" s="79">
        <f>L221+O221</f>
        <v>20500</v>
      </c>
      <c r="K221" s="79">
        <f>20500</f>
        <v>20500</v>
      </c>
      <c r="L221" s="79"/>
      <c r="M221" s="79"/>
      <c r="N221" s="79"/>
      <c r="O221" s="79">
        <f>K221</f>
        <v>20500</v>
      </c>
      <c r="P221" s="266">
        <f>E221+J221</f>
        <v>20500</v>
      </c>
    </row>
    <row r="222" spans="1:16" s="40" customFormat="1" ht="56.25">
      <c r="A222" s="257" t="s">
        <v>810</v>
      </c>
      <c r="B222" s="386"/>
      <c r="C222" s="94"/>
      <c r="D222" s="64" t="s">
        <v>811</v>
      </c>
      <c r="E222" s="95">
        <f>E223</f>
        <v>9049829</v>
      </c>
      <c r="F222" s="95">
        <f aca="true" t="shared" si="31" ref="F222:O222">F223</f>
        <v>9049829</v>
      </c>
      <c r="G222" s="95">
        <f t="shared" si="31"/>
        <v>2938090</v>
      </c>
      <c r="H222" s="95">
        <f t="shared" si="31"/>
        <v>78064</v>
      </c>
      <c r="I222" s="95"/>
      <c r="J222" s="95">
        <f t="shared" si="31"/>
        <v>2909495</v>
      </c>
      <c r="K222" s="95">
        <f t="shared" si="31"/>
        <v>2909495</v>
      </c>
      <c r="L222" s="95"/>
      <c r="M222" s="95"/>
      <c r="N222" s="95"/>
      <c r="O222" s="95">
        <f t="shared" si="31"/>
        <v>2909495</v>
      </c>
      <c r="P222" s="258">
        <f t="shared" si="29"/>
        <v>11959324</v>
      </c>
    </row>
    <row r="223" spans="1:18" s="40" customFormat="1" ht="56.25">
      <c r="A223" s="251" t="s">
        <v>812</v>
      </c>
      <c r="B223" s="36"/>
      <c r="C223" s="36"/>
      <c r="D223" s="37" t="s">
        <v>811</v>
      </c>
      <c r="E223" s="38">
        <f>F223+I223</f>
        <v>9049829</v>
      </c>
      <c r="F223" s="38">
        <f>F224+F226+F227+F229+F231+F233+F235+F236+F238+F237</f>
        <v>9049829</v>
      </c>
      <c r="G223" s="38">
        <f aca="true" t="shared" si="32" ref="G223:O223">G224+G226+G227+G229+G231+G233+G235+G236+G238+G237</f>
        <v>2938090</v>
      </c>
      <c r="H223" s="38">
        <f t="shared" si="32"/>
        <v>78064</v>
      </c>
      <c r="I223" s="38"/>
      <c r="J223" s="38">
        <f t="shared" si="32"/>
        <v>2909495</v>
      </c>
      <c r="K223" s="38">
        <f t="shared" si="32"/>
        <v>2909495</v>
      </c>
      <c r="L223" s="38"/>
      <c r="M223" s="38"/>
      <c r="N223" s="38"/>
      <c r="O223" s="38">
        <f t="shared" si="32"/>
        <v>2909495</v>
      </c>
      <c r="P223" s="252">
        <f t="shared" si="29"/>
        <v>11959324</v>
      </c>
      <c r="R223" s="39"/>
    </row>
    <row r="224" spans="1:16" s="40" customFormat="1" ht="56.25">
      <c r="A224" s="253" t="s">
        <v>813</v>
      </c>
      <c r="B224" s="41" t="s">
        <v>536</v>
      </c>
      <c r="C224" s="41" t="s">
        <v>389</v>
      </c>
      <c r="D224" s="44" t="s">
        <v>537</v>
      </c>
      <c r="E224" s="43">
        <f>F224</f>
        <v>890645</v>
      </c>
      <c r="F224" s="43">
        <f>885201+725+619+1250+2850</f>
        <v>890645</v>
      </c>
      <c r="G224" s="43">
        <v>834125</v>
      </c>
      <c r="H224" s="43">
        <f>25930+72</f>
        <v>26002</v>
      </c>
      <c r="I224" s="43"/>
      <c r="J224" s="43">
        <f>L224+O224</f>
        <v>12000</v>
      </c>
      <c r="K224" s="43">
        <v>12000</v>
      </c>
      <c r="L224" s="43"/>
      <c r="M224" s="43"/>
      <c r="N224" s="43"/>
      <c r="O224" s="43">
        <f>K224</f>
        <v>12000</v>
      </c>
      <c r="P224" s="252">
        <f>E224+J224</f>
        <v>902645</v>
      </c>
    </row>
    <row r="225" spans="1:16" s="40" customFormat="1" ht="41.25" customHeight="1" hidden="1">
      <c r="A225" s="253" t="s">
        <v>814</v>
      </c>
      <c r="B225" s="41" t="s">
        <v>815</v>
      </c>
      <c r="C225" s="41"/>
      <c r="D225" s="55" t="s">
        <v>816</v>
      </c>
      <c r="E225" s="43">
        <f>E226</f>
        <v>70700</v>
      </c>
      <c r="F225" s="43">
        <f>F226</f>
        <v>70700</v>
      </c>
      <c r="G225" s="43"/>
      <c r="H225" s="43"/>
      <c r="I225" s="43"/>
      <c r="J225" s="43"/>
      <c r="K225" s="43"/>
      <c r="L225" s="43"/>
      <c r="M225" s="43"/>
      <c r="N225" s="43"/>
      <c r="O225" s="43"/>
      <c r="P225" s="252">
        <f aca="true" t="shared" si="33" ref="P225:P240">E225+J225</f>
        <v>70700</v>
      </c>
    </row>
    <row r="226" spans="1:16" s="40" customFormat="1" ht="18.75">
      <c r="A226" s="253" t="s">
        <v>817</v>
      </c>
      <c r="B226" s="41" t="s">
        <v>818</v>
      </c>
      <c r="C226" s="41" t="s">
        <v>426</v>
      </c>
      <c r="D226" s="55" t="s">
        <v>819</v>
      </c>
      <c r="E226" s="43">
        <f>F226</f>
        <v>70700</v>
      </c>
      <c r="F226" s="43">
        <v>70700</v>
      </c>
      <c r="G226" s="43"/>
      <c r="H226" s="43"/>
      <c r="I226" s="43"/>
      <c r="J226" s="43"/>
      <c r="K226" s="43"/>
      <c r="L226" s="43"/>
      <c r="M226" s="43"/>
      <c r="N226" s="43"/>
      <c r="O226" s="43"/>
      <c r="P226" s="252">
        <f t="shared" si="33"/>
        <v>70700</v>
      </c>
    </row>
    <row r="227" spans="1:16" s="40" customFormat="1" ht="93.75">
      <c r="A227" s="253" t="s">
        <v>820</v>
      </c>
      <c r="B227" s="41" t="s">
        <v>821</v>
      </c>
      <c r="C227" s="41" t="s">
        <v>426</v>
      </c>
      <c r="D227" s="55" t="s">
        <v>822</v>
      </c>
      <c r="E227" s="43">
        <f>F227</f>
        <v>199000</v>
      </c>
      <c r="F227" s="43">
        <v>199000</v>
      </c>
      <c r="G227" s="43"/>
      <c r="H227" s="43"/>
      <c r="I227" s="43"/>
      <c r="J227" s="43"/>
      <c r="K227" s="43"/>
      <c r="L227" s="43"/>
      <c r="M227" s="43"/>
      <c r="N227" s="43"/>
      <c r="O227" s="43"/>
      <c r="P227" s="252">
        <f t="shared" si="33"/>
        <v>199000</v>
      </c>
    </row>
    <row r="228" spans="1:16" s="40" customFormat="1" ht="18.75" hidden="1">
      <c r="A228" s="251" t="s">
        <v>823</v>
      </c>
      <c r="B228" s="36" t="s">
        <v>824</v>
      </c>
      <c r="C228" s="36"/>
      <c r="D228" s="37" t="s">
        <v>825</v>
      </c>
      <c r="E228" s="38">
        <f>E229</f>
        <v>452600</v>
      </c>
      <c r="F228" s="38">
        <f>F229</f>
        <v>452600</v>
      </c>
      <c r="G228" s="38"/>
      <c r="H228" s="38"/>
      <c r="I228" s="38"/>
      <c r="J228" s="38"/>
      <c r="K228" s="38"/>
      <c r="L228" s="38"/>
      <c r="M228" s="38"/>
      <c r="N228" s="38"/>
      <c r="O228" s="38"/>
      <c r="P228" s="252">
        <f t="shared" si="33"/>
        <v>452600</v>
      </c>
    </row>
    <row r="229" spans="1:16" s="40" customFormat="1" ht="37.5">
      <c r="A229" s="253" t="s">
        <v>826</v>
      </c>
      <c r="B229" s="41" t="s">
        <v>827</v>
      </c>
      <c r="C229" s="41" t="s">
        <v>571</v>
      </c>
      <c r="D229" s="44" t="s">
        <v>828</v>
      </c>
      <c r="E229" s="43">
        <f>F229</f>
        <v>452600</v>
      </c>
      <c r="F229" s="43">
        <f>440000+12600</f>
        <v>452600</v>
      </c>
      <c r="G229" s="43"/>
      <c r="H229" s="43"/>
      <c r="I229" s="43"/>
      <c r="J229" s="43"/>
      <c r="K229" s="43"/>
      <c r="L229" s="43"/>
      <c r="M229" s="43"/>
      <c r="N229" s="43"/>
      <c r="O229" s="43"/>
      <c r="P229" s="252">
        <f t="shared" si="33"/>
        <v>452600</v>
      </c>
    </row>
    <row r="230" spans="1:16" s="40" customFormat="1" ht="37.5" hidden="1">
      <c r="A230" s="251" t="s">
        <v>829</v>
      </c>
      <c r="B230" s="36" t="s">
        <v>567</v>
      </c>
      <c r="C230" s="36"/>
      <c r="D230" s="37" t="s">
        <v>568</v>
      </c>
      <c r="E230" s="38">
        <f>E231</f>
        <v>2006142</v>
      </c>
      <c r="F230" s="38">
        <f aca="true" t="shared" si="34" ref="F230:O230">F231</f>
        <v>2006142</v>
      </c>
      <c r="G230" s="38">
        <f t="shared" si="34"/>
        <v>1909414</v>
      </c>
      <c r="H230" s="38">
        <f t="shared" si="34"/>
        <v>47186</v>
      </c>
      <c r="I230" s="38">
        <f t="shared" si="34"/>
        <v>0</v>
      </c>
      <c r="J230" s="38">
        <f t="shared" si="34"/>
        <v>12400</v>
      </c>
      <c r="K230" s="38">
        <f t="shared" si="34"/>
        <v>12400</v>
      </c>
      <c r="L230" s="38">
        <f t="shared" si="34"/>
        <v>0</v>
      </c>
      <c r="M230" s="38">
        <f t="shared" si="34"/>
        <v>0</v>
      </c>
      <c r="N230" s="38">
        <f t="shared" si="34"/>
        <v>0</v>
      </c>
      <c r="O230" s="38">
        <f t="shared" si="34"/>
        <v>12400</v>
      </c>
      <c r="P230" s="252">
        <f t="shared" si="33"/>
        <v>2018542</v>
      </c>
    </row>
    <row r="231" spans="1:16" s="40" customFormat="1" ht="56.25">
      <c r="A231" s="253" t="s">
        <v>830</v>
      </c>
      <c r="B231" s="41" t="s">
        <v>570</v>
      </c>
      <c r="C231" s="41" t="s">
        <v>571</v>
      </c>
      <c r="D231" s="44" t="s">
        <v>572</v>
      </c>
      <c r="E231" s="43">
        <f>F231</f>
        <v>2006142</v>
      </c>
      <c r="F231" s="43">
        <f>1947237+14907+40000+3998</f>
        <v>2006142</v>
      </c>
      <c r="G231" s="43">
        <f>1894507+14907</f>
        <v>1909414</v>
      </c>
      <c r="H231" s="43">
        <v>47186</v>
      </c>
      <c r="I231" s="43"/>
      <c r="J231" s="43">
        <f>L231+O231</f>
        <v>12400</v>
      </c>
      <c r="K231" s="43">
        <f>12400</f>
        <v>12400</v>
      </c>
      <c r="L231" s="43"/>
      <c r="M231" s="43"/>
      <c r="N231" s="43"/>
      <c r="O231" s="43">
        <f>K231</f>
        <v>12400</v>
      </c>
      <c r="P231" s="252">
        <f t="shared" si="33"/>
        <v>2018542</v>
      </c>
    </row>
    <row r="232" spans="1:16" s="40" customFormat="1" ht="37.5" hidden="1">
      <c r="A232" s="251" t="s">
        <v>831</v>
      </c>
      <c r="B232" s="36" t="s">
        <v>832</v>
      </c>
      <c r="C232" s="36"/>
      <c r="D232" s="37" t="s">
        <v>833</v>
      </c>
      <c r="E232" s="38">
        <f>E233</f>
        <v>3395817</v>
      </c>
      <c r="F232" s="38">
        <f aca="true" t="shared" si="35" ref="F232:O232">F233</f>
        <v>3395817</v>
      </c>
      <c r="G232" s="38">
        <f t="shared" si="35"/>
        <v>0</v>
      </c>
      <c r="H232" s="38">
        <f t="shared" si="35"/>
        <v>0</v>
      </c>
      <c r="I232" s="38">
        <f t="shared" si="35"/>
        <v>0</v>
      </c>
      <c r="J232" s="38">
        <f t="shared" si="35"/>
        <v>1172560</v>
      </c>
      <c r="K232" s="38">
        <f t="shared" si="35"/>
        <v>1172560</v>
      </c>
      <c r="L232" s="38">
        <f t="shared" si="35"/>
        <v>0</v>
      </c>
      <c r="M232" s="38">
        <f t="shared" si="35"/>
        <v>0</v>
      </c>
      <c r="N232" s="38">
        <f t="shared" si="35"/>
        <v>0</v>
      </c>
      <c r="O232" s="38">
        <f t="shared" si="35"/>
        <v>1172560</v>
      </c>
      <c r="P232" s="252">
        <f t="shared" si="33"/>
        <v>4568377</v>
      </c>
    </row>
    <row r="233" spans="1:16" s="40" customFormat="1" ht="37.5">
      <c r="A233" s="253" t="s">
        <v>834</v>
      </c>
      <c r="B233" s="41" t="s">
        <v>835</v>
      </c>
      <c r="C233" s="41" t="s">
        <v>571</v>
      </c>
      <c r="D233" s="44" t="s">
        <v>836</v>
      </c>
      <c r="E233" s="43">
        <f>F233</f>
        <v>3395817</v>
      </c>
      <c r="F233" s="43">
        <f>3262275+80700+52842</f>
        <v>3395817</v>
      </c>
      <c r="G233" s="43"/>
      <c r="H233" s="43"/>
      <c r="I233" s="43"/>
      <c r="J233" s="43">
        <f>L233+O233</f>
        <v>1172560</v>
      </c>
      <c r="K233" s="43">
        <f>18000+115000+24000+54963+723958+150000+70000+16639</f>
        <v>1172560</v>
      </c>
      <c r="L233" s="43"/>
      <c r="M233" s="43"/>
      <c r="N233" s="43"/>
      <c r="O233" s="43">
        <f>K233</f>
        <v>1172560</v>
      </c>
      <c r="P233" s="252">
        <f t="shared" si="33"/>
        <v>4568377</v>
      </c>
    </row>
    <row r="234" spans="1:16" s="40" customFormat="1" ht="37.5" hidden="1">
      <c r="A234" s="251" t="s">
        <v>837</v>
      </c>
      <c r="B234" s="36" t="s">
        <v>838</v>
      </c>
      <c r="C234" s="36"/>
      <c r="D234" s="96" t="s">
        <v>839</v>
      </c>
      <c r="E234" s="38">
        <f>E235+E236</f>
        <v>1963711</v>
      </c>
      <c r="F234" s="38">
        <f aca="true" t="shared" si="36" ref="F234:O234">F235+F236</f>
        <v>1963711</v>
      </c>
      <c r="G234" s="38">
        <f t="shared" si="36"/>
        <v>194551</v>
      </c>
      <c r="H234" s="38">
        <f t="shared" si="36"/>
        <v>4876</v>
      </c>
      <c r="I234" s="38">
        <f t="shared" si="36"/>
        <v>0</v>
      </c>
      <c r="J234" s="38">
        <f t="shared" si="36"/>
        <v>0</v>
      </c>
      <c r="K234" s="38">
        <f t="shared" si="36"/>
        <v>0</v>
      </c>
      <c r="L234" s="38">
        <f t="shared" si="36"/>
        <v>0</v>
      </c>
      <c r="M234" s="38">
        <f t="shared" si="36"/>
        <v>0</v>
      </c>
      <c r="N234" s="38">
        <f t="shared" si="36"/>
        <v>0</v>
      </c>
      <c r="O234" s="38">
        <f t="shared" si="36"/>
        <v>0</v>
      </c>
      <c r="P234" s="252">
        <f t="shared" si="33"/>
        <v>1963711</v>
      </c>
    </row>
    <row r="235" spans="1:16" s="40" customFormat="1" ht="60" customHeight="1">
      <c r="A235" s="253" t="s">
        <v>840</v>
      </c>
      <c r="B235" s="41" t="s">
        <v>841</v>
      </c>
      <c r="C235" s="41" t="s">
        <v>571</v>
      </c>
      <c r="D235" s="55" t="s">
        <v>842</v>
      </c>
      <c r="E235" s="43">
        <f>F235</f>
        <v>1758423</v>
      </c>
      <c r="F235" s="43">
        <f>1523560-14907+50000+199770</f>
        <v>1758423</v>
      </c>
      <c r="G235" s="43"/>
      <c r="H235" s="97"/>
      <c r="I235" s="97"/>
      <c r="J235" s="97"/>
      <c r="K235" s="97"/>
      <c r="L235" s="97"/>
      <c r="M235" s="97"/>
      <c r="N235" s="97"/>
      <c r="O235" s="97"/>
      <c r="P235" s="252">
        <f t="shared" si="33"/>
        <v>1758423</v>
      </c>
    </row>
    <row r="236" spans="1:16" s="40" customFormat="1" ht="37.5">
      <c r="A236" s="253" t="s">
        <v>843</v>
      </c>
      <c r="B236" s="41" t="s">
        <v>844</v>
      </c>
      <c r="C236" s="41" t="s">
        <v>571</v>
      </c>
      <c r="D236" s="55" t="s">
        <v>845</v>
      </c>
      <c r="E236" s="43">
        <f>F236</f>
        <v>205288</v>
      </c>
      <c r="F236" s="43">
        <f>203388+1900</f>
        <v>205288</v>
      </c>
      <c r="G236" s="43">
        <v>194551</v>
      </c>
      <c r="H236" s="43">
        <f>4850+26</f>
        <v>4876</v>
      </c>
      <c r="I236" s="43"/>
      <c r="J236" s="43"/>
      <c r="K236" s="43"/>
      <c r="L236" s="43"/>
      <c r="M236" s="43"/>
      <c r="N236" s="43"/>
      <c r="O236" s="43"/>
      <c r="P236" s="252">
        <f t="shared" si="33"/>
        <v>205288</v>
      </c>
    </row>
    <row r="237" spans="1:16" s="40" customFormat="1" ht="56.25">
      <c r="A237" s="259" t="s">
        <v>327</v>
      </c>
      <c r="B237" s="72" t="s">
        <v>485</v>
      </c>
      <c r="C237" s="72" t="s">
        <v>486</v>
      </c>
      <c r="D237" s="44" t="s">
        <v>487</v>
      </c>
      <c r="E237" s="73"/>
      <c r="F237" s="73"/>
      <c r="G237" s="73"/>
      <c r="H237" s="73"/>
      <c r="I237" s="73"/>
      <c r="J237" s="73">
        <f>L237+O237</f>
        <v>1712535</v>
      </c>
      <c r="K237" s="73">
        <f>1712535</f>
        <v>1712535</v>
      </c>
      <c r="L237" s="73"/>
      <c r="M237" s="73"/>
      <c r="N237" s="73"/>
      <c r="O237" s="73">
        <f>K237</f>
        <v>1712535</v>
      </c>
      <c r="P237" s="252">
        <f t="shared" si="33"/>
        <v>1712535</v>
      </c>
    </row>
    <row r="238" spans="1:16" s="40" customFormat="1" ht="38.25" thickBot="1">
      <c r="A238" s="255" t="s">
        <v>255</v>
      </c>
      <c r="B238" s="59" t="s">
        <v>510</v>
      </c>
      <c r="C238" s="59" t="s">
        <v>486</v>
      </c>
      <c r="D238" s="71" t="s">
        <v>511</v>
      </c>
      <c r="E238" s="61">
        <f>F238+I238</f>
        <v>71214</v>
      </c>
      <c r="F238" s="61">
        <f>55000+16214</f>
        <v>71214</v>
      </c>
      <c r="G238" s="61"/>
      <c r="H238" s="61"/>
      <c r="I238" s="61"/>
      <c r="J238" s="61"/>
      <c r="K238" s="61"/>
      <c r="L238" s="61"/>
      <c r="M238" s="61"/>
      <c r="N238" s="61"/>
      <c r="O238" s="61"/>
      <c r="P238" s="256">
        <f t="shared" si="33"/>
        <v>71214</v>
      </c>
    </row>
    <row r="239" spans="1:16" s="40" customFormat="1" ht="37.5">
      <c r="A239" s="257" t="s">
        <v>846</v>
      </c>
      <c r="B239" s="63"/>
      <c r="C239" s="63"/>
      <c r="D239" s="98" t="s">
        <v>847</v>
      </c>
      <c r="E239" s="65">
        <f>E240</f>
        <v>1205675</v>
      </c>
      <c r="F239" s="65">
        <f aca="true" t="shared" si="37" ref="F239:O239">F240</f>
        <v>1205675</v>
      </c>
      <c r="G239" s="65">
        <f t="shared" si="37"/>
        <v>892219</v>
      </c>
      <c r="H239" s="65">
        <f t="shared" si="37"/>
        <v>31237</v>
      </c>
      <c r="I239" s="65"/>
      <c r="J239" s="65">
        <f t="shared" si="37"/>
        <v>139175</v>
      </c>
      <c r="K239" s="65">
        <f t="shared" si="37"/>
        <v>139175</v>
      </c>
      <c r="L239" s="65"/>
      <c r="M239" s="65"/>
      <c r="N239" s="65"/>
      <c r="O239" s="65">
        <f t="shared" si="37"/>
        <v>139175</v>
      </c>
      <c r="P239" s="258">
        <f t="shared" si="33"/>
        <v>1344850</v>
      </c>
    </row>
    <row r="240" spans="1:16" s="40" customFormat="1" ht="37.5">
      <c r="A240" s="257" t="s">
        <v>848</v>
      </c>
      <c r="B240" s="63"/>
      <c r="C240" s="63"/>
      <c r="D240" s="98" t="s">
        <v>847</v>
      </c>
      <c r="E240" s="65">
        <f>E241+E243+E242</f>
        <v>1205675</v>
      </c>
      <c r="F240" s="65">
        <f aca="true" t="shared" si="38" ref="F240:O240">F241+F243+F242</f>
        <v>1205675</v>
      </c>
      <c r="G240" s="65">
        <f t="shared" si="38"/>
        <v>892219</v>
      </c>
      <c r="H240" s="65">
        <f t="shared" si="38"/>
        <v>31237</v>
      </c>
      <c r="I240" s="65"/>
      <c r="J240" s="65">
        <f t="shared" si="38"/>
        <v>139175</v>
      </c>
      <c r="K240" s="65">
        <f t="shared" si="38"/>
        <v>139175</v>
      </c>
      <c r="L240" s="65"/>
      <c r="M240" s="65"/>
      <c r="N240" s="65"/>
      <c r="O240" s="65">
        <f t="shared" si="38"/>
        <v>139175</v>
      </c>
      <c r="P240" s="252">
        <f t="shared" si="33"/>
        <v>1344850</v>
      </c>
    </row>
    <row r="241" spans="1:16" s="40" customFormat="1" ht="56.25">
      <c r="A241" s="259" t="s">
        <v>849</v>
      </c>
      <c r="B241" s="72" t="s">
        <v>536</v>
      </c>
      <c r="C241" s="72" t="s">
        <v>389</v>
      </c>
      <c r="D241" s="90" t="s">
        <v>537</v>
      </c>
      <c r="E241" s="73">
        <f>F241</f>
        <v>940497</v>
      </c>
      <c r="F241" s="73">
        <v>940497</v>
      </c>
      <c r="G241" s="73">
        <v>892219</v>
      </c>
      <c r="H241" s="73">
        <f>31054+183</f>
        <v>31237</v>
      </c>
      <c r="I241" s="73"/>
      <c r="J241" s="73">
        <f>O241+L241</f>
        <v>27300</v>
      </c>
      <c r="K241" s="73">
        <v>27300</v>
      </c>
      <c r="L241" s="73"/>
      <c r="M241" s="73"/>
      <c r="N241" s="73"/>
      <c r="O241" s="73">
        <f>K241</f>
        <v>27300</v>
      </c>
      <c r="P241" s="252">
        <f>E241+J241</f>
        <v>967797</v>
      </c>
    </row>
    <row r="242" spans="1:16" s="40" customFormat="1" ht="37.5">
      <c r="A242" s="259" t="s">
        <v>25</v>
      </c>
      <c r="B242" s="72" t="s">
        <v>26</v>
      </c>
      <c r="C242" s="72" t="s">
        <v>480</v>
      </c>
      <c r="D242" s="90" t="s">
        <v>27</v>
      </c>
      <c r="E242" s="73"/>
      <c r="F242" s="73"/>
      <c r="G242" s="73"/>
      <c r="H242" s="73"/>
      <c r="I242" s="73"/>
      <c r="J242" s="73">
        <f>O242+L242</f>
        <v>111875</v>
      </c>
      <c r="K242" s="73">
        <f>111875</f>
        <v>111875</v>
      </c>
      <c r="L242" s="73"/>
      <c r="M242" s="73"/>
      <c r="N242" s="73"/>
      <c r="O242" s="73">
        <f>K242</f>
        <v>111875</v>
      </c>
      <c r="P242" s="252">
        <f>E242+J242</f>
        <v>111875</v>
      </c>
    </row>
    <row r="243" spans="1:16" s="40" customFormat="1" ht="38.25" thickBot="1">
      <c r="A243" s="255" t="s">
        <v>850</v>
      </c>
      <c r="B243" s="59" t="s">
        <v>510</v>
      </c>
      <c r="C243" s="59" t="s">
        <v>486</v>
      </c>
      <c r="D243" s="71" t="s">
        <v>511</v>
      </c>
      <c r="E243" s="61">
        <f>F243</f>
        <v>265178</v>
      </c>
      <c r="F243" s="61">
        <v>265178</v>
      </c>
      <c r="G243" s="61"/>
      <c r="H243" s="61"/>
      <c r="I243" s="61"/>
      <c r="J243" s="61"/>
      <c r="K243" s="61"/>
      <c r="L243" s="61"/>
      <c r="M243" s="61"/>
      <c r="N243" s="61"/>
      <c r="O243" s="61"/>
      <c r="P243" s="256">
        <f>E243+J243</f>
        <v>265178</v>
      </c>
    </row>
    <row r="244" spans="1:16" s="40" customFormat="1" ht="56.25">
      <c r="A244" s="257" t="s">
        <v>851</v>
      </c>
      <c r="B244" s="63"/>
      <c r="C244" s="63"/>
      <c r="D244" s="64" t="s">
        <v>852</v>
      </c>
      <c r="E244" s="65">
        <f>E245</f>
        <v>1083081</v>
      </c>
      <c r="F244" s="65">
        <f aca="true" t="shared" si="39" ref="F244:O244">F245</f>
        <v>1083081</v>
      </c>
      <c r="G244" s="65">
        <f t="shared" si="39"/>
        <v>984400</v>
      </c>
      <c r="H244" s="65">
        <f t="shared" si="39"/>
        <v>42895</v>
      </c>
      <c r="I244" s="65"/>
      <c r="J244" s="65">
        <f t="shared" si="39"/>
        <v>10000</v>
      </c>
      <c r="K244" s="65">
        <f t="shared" si="39"/>
        <v>10000</v>
      </c>
      <c r="L244" s="65"/>
      <c r="M244" s="65"/>
      <c r="N244" s="65"/>
      <c r="O244" s="65">
        <f t="shared" si="39"/>
        <v>10000</v>
      </c>
      <c r="P244" s="258">
        <f aca="true" t="shared" si="40" ref="P244:P258">E244+J244</f>
        <v>1093081</v>
      </c>
    </row>
    <row r="245" spans="1:16" s="40" customFormat="1" ht="56.25">
      <c r="A245" s="257" t="s">
        <v>853</v>
      </c>
      <c r="B245" s="63"/>
      <c r="C245" s="63"/>
      <c r="D245" s="265" t="s">
        <v>852</v>
      </c>
      <c r="E245" s="65">
        <f>E246+E249</f>
        <v>1083081</v>
      </c>
      <c r="F245" s="65">
        <f aca="true" t="shared" si="41" ref="F245:O245">F246+F249</f>
        <v>1083081</v>
      </c>
      <c r="G245" s="65">
        <f t="shared" si="41"/>
        <v>984400</v>
      </c>
      <c r="H245" s="65">
        <f t="shared" si="41"/>
        <v>42895</v>
      </c>
      <c r="I245" s="65"/>
      <c r="J245" s="65">
        <f t="shared" si="41"/>
        <v>10000</v>
      </c>
      <c r="K245" s="65">
        <f t="shared" si="41"/>
        <v>10000</v>
      </c>
      <c r="L245" s="65"/>
      <c r="M245" s="65"/>
      <c r="N245" s="65"/>
      <c r="O245" s="65">
        <f t="shared" si="41"/>
        <v>10000</v>
      </c>
      <c r="P245" s="252">
        <f t="shared" si="40"/>
        <v>1093081</v>
      </c>
    </row>
    <row r="246" spans="1:16" s="40" customFormat="1" ht="56.25">
      <c r="A246" s="253" t="s">
        <v>854</v>
      </c>
      <c r="B246" s="41" t="s">
        <v>536</v>
      </c>
      <c r="C246" s="41" t="s">
        <v>389</v>
      </c>
      <c r="D246" s="44" t="s">
        <v>855</v>
      </c>
      <c r="E246" s="43">
        <f>F246</f>
        <v>1070323</v>
      </c>
      <c r="F246" s="43">
        <f>1065283+17798-12758</f>
        <v>1070323</v>
      </c>
      <c r="G246" s="43">
        <v>984400</v>
      </c>
      <c r="H246" s="43">
        <f>42761+134</f>
        <v>42895</v>
      </c>
      <c r="I246" s="43"/>
      <c r="J246" s="43">
        <f>O246+L246</f>
        <v>10000</v>
      </c>
      <c r="K246" s="43">
        <v>10000</v>
      </c>
      <c r="L246" s="43"/>
      <c r="M246" s="43"/>
      <c r="N246" s="43"/>
      <c r="O246" s="43">
        <f>K246</f>
        <v>10000</v>
      </c>
      <c r="P246" s="252">
        <f t="shared" si="40"/>
        <v>1080323</v>
      </c>
    </row>
    <row r="247" spans="1:16" s="40" customFormat="1" ht="19.5" hidden="1" thickBot="1">
      <c r="A247" s="260"/>
      <c r="B247" s="75"/>
      <c r="C247" s="75"/>
      <c r="D247" s="88"/>
      <c r="E247" s="77"/>
      <c r="F247" s="77"/>
      <c r="G247" s="77"/>
      <c r="H247" s="77"/>
      <c r="I247" s="77"/>
      <c r="J247" s="77"/>
      <c r="K247" s="77"/>
      <c r="L247" s="77"/>
      <c r="M247" s="77"/>
      <c r="N247" s="77"/>
      <c r="O247" s="77"/>
      <c r="P247" s="266">
        <f t="shared" si="40"/>
        <v>0</v>
      </c>
    </row>
    <row r="248" spans="1:16" s="40" customFormat="1" ht="19.5" hidden="1" thickBot="1">
      <c r="A248" s="260"/>
      <c r="B248" s="75"/>
      <c r="C248" s="75"/>
      <c r="D248" s="88"/>
      <c r="E248" s="77"/>
      <c r="F248" s="77"/>
      <c r="G248" s="77"/>
      <c r="H248" s="77"/>
      <c r="I248" s="77"/>
      <c r="J248" s="77"/>
      <c r="K248" s="77"/>
      <c r="L248" s="77"/>
      <c r="M248" s="77"/>
      <c r="N248" s="77"/>
      <c r="O248" s="77"/>
      <c r="P248" s="256">
        <f t="shared" si="40"/>
        <v>0</v>
      </c>
    </row>
    <row r="249" spans="1:16" s="40" customFormat="1" ht="38.25" thickBot="1">
      <c r="A249" s="255" t="s">
        <v>107</v>
      </c>
      <c r="B249" s="59" t="s">
        <v>510</v>
      </c>
      <c r="C249" s="59" t="s">
        <v>486</v>
      </c>
      <c r="D249" s="71" t="s">
        <v>511</v>
      </c>
      <c r="E249" s="61">
        <f>F249</f>
        <v>12758</v>
      </c>
      <c r="F249" s="61">
        <v>12758</v>
      </c>
      <c r="G249" s="61"/>
      <c r="H249" s="61"/>
      <c r="I249" s="61"/>
      <c r="J249" s="61"/>
      <c r="K249" s="61"/>
      <c r="L249" s="61"/>
      <c r="M249" s="61"/>
      <c r="N249" s="61"/>
      <c r="O249" s="61"/>
      <c r="P249" s="256">
        <f t="shared" si="40"/>
        <v>12758</v>
      </c>
    </row>
    <row r="250" spans="1:16" s="40" customFormat="1" ht="56.25">
      <c r="A250" s="257" t="s">
        <v>856</v>
      </c>
      <c r="B250" s="63"/>
      <c r="C250" s="63"/>
      <c r="D250" s="98" t="s">
        <v>857</v>
      </c>
      <c r="E250" s="65">
        <f>E251</f>
        <v>2608156</v>
      </c>
      <c r="F250" s="65">
        <f aca="true" t="shared" si="42" ref="F250:O250">F251</f>
        <v>2608156</v>
      </c>
      <c r="G250" s="65">
        <f t="shared" si="42"/>
        <v>2116091</v>
      </c>
      <c r="H250" s="65">
        <f t="shared" si="42"/>
        <v>125319</v>
      </c>
      <c r="I250" s="65"/>
      <c r="J250" s="65">
        <f t="shared" si="42"/>
        <v>465473</v>
      </c>
      <c r="K250" s="65">
        <f t="shared" si="42"/>
        <v>465473</v>
      </c>
      <c r="L250" s="65"/>
      <c r="M250" s="65"/>
      <c r="N250" s="65"/>
      <c r="O250" s="65">
        <f t="shared" si="42"/>
        <v>465473</v>
      </c>
      <c r="P250" s="258">
        <f t="shared" si="40"/>
        <v>3073629</v>
      </c>
    </row>
    <row r="251" spans="1:16" s="40" customFormat="1" ht="56.25">
      <c r="A251" s="257" t="s">
        <v>858</v>
      </c>
      <c r="B251" s="63"/>
      <c r="C251" s="63"/>
      <c r="D251" s="98" t="s">
        <v>857</v>
      </c>
      <c r="E251" s="65">
        <f>E252+E253+E254+E255+E256</f>
        <v>2608156</v>
      </c>
      <c r="F251" s="65">
        <f aca="true" t="shared" si="43" ref="F251:O251">F252+F253+F254+F255+F256</f>
        <v>2608156</v>
      </c>
      <c r="G251" s="65">
        <f t="shared" si="43"/>
        <v>2116091</v>
      </c>
      <c r="H251" s="65">
        <f t="shared" si="43"/>
        <v>125319</v>
      </c>
      <c r="I251" s="65"/>
      <c r="J251" s="65">
        <f t="shared" si="43"/>
        <v>465473</v>
      </c>
      <c r="K251" s="65">
        <f t="shared" si="43"/>
        <v>465473</v>
      </c>
      <c r="L251" s="65"/>
      <c r="M251" s="65"/>
      <c r="N251" s="65"/>
      <c r="O251" s="65">
        <f t="shared" si="43"/>
        <v>465473</v>
      </c>
      <c r="P251" s="252">
        <f t="shared" si="40"/>
        <v>3073629</v>
      </c>
    </row>
    <row r="252" spans="1:16" s="40" customFormat="1" ht="56.25">
      <c r="A252" s="253" t="s">
        <v>859</v>
      </c>
      <c r="B252" s="41" t="s">
        <v>536</v>
      </c>
      <c r="C252" s="41" t="s">
        <v>389</v>
      </c>
      <c r="D252" s="44" t="s">
        <v>537</v>
      </c>
      <c r="E252" s="43">
        <f>F252</f>
        <v>1961927</v>
      </c>
      <c r="F252" s="43">
        <f>1959817+2110</f>
        <v>1961927</v>
      </c>
      <c r="G252" s="43">
        <v>1850857</v>
      </c>
      <c r="H252" s="43">
        <v>76996</v>
      </c>
      <c r="I252" s="43"/>
      <c r="J252" s="43"/>
      <c r="K252" s="43"/>
      <c r="L252" s="43"/>
      <c r="M252" s="43"/>
      <c r="N252" s="43"/>
      <c r="O252" s="43"/>
      <c r="P252" s="252">
        <f t="shared" si="40"/>
        <v>1961927</v>
      </c>
    </row>
    <row r="253" spans="1:16" s="40" customFormat="1" ht="37.5">
      <c r="A253" s="259" t="s">
        <v>242</v>
      </c>
      <c r="B253" s="72" t="s">
        <v>243</v>
      </c>
      <c r="C253" s="72" t="s">
        <v>486</v>
      </c>
      <c r="D253" s="90" t="s">
        <v>244</v>
      </c>
      <c r="E253" s="73"/>
      <c r="F253" s="73"/>
      <c r="G253" s="73"/>
      <c r="H253" s="73"/>
      <c r="I253" s="73"/>
      <c r="J253" s="73">
        <f>L253+O253</f>
        <v>220000</v>
      </c>
      <c r="K253" s="73">
        <f>136000+84000</f>
        <v>220000</v>
      </c>
      <c r="L253" s="73"/>
      <c r="M253" s="73"/>
      <c r="N253" s="73"/>
      <c r="O253" s="73">
        <f>K253</f>
        <v>220000</v>
      </c>
      <c r="P253" s="252">
        <f t="shared" si="40"/>
        <v>220000</v>
      </c>
    </row>
    <row r="254" spans="1:16" s="40" customFormat="1" ht="37.5">
      <c r="A254" s="259" t="s">
        <v>28</v>
      </c>
      <c r="B254" s="72" t="s">
        <v>510</v>
      </c>
      <c r="C254" s="72" t="s">
        <v>486</v>
      </c>
      <c r="D254" s="90" t="s">
        <v>29</v>
      </c>
      <c r="E254" s="73">
        <f>F254</f>
        <v>440702</v>
      </c>
      <c r="F254" s="73">
        <f>G254+H254+102838+24307</f>
        <v>440702</v>
      </c>
      <c r="G254" s="73">
        <f>237232+28002</f>
        <v>265234</v>
      </c>
      <c r="H254" s="73">
        <f>4199+12751+31373</f>
        <v>48323</v>
      </c>
      <c r="I254" s="73"/>
      <c r="J254" s="73">
        <f>L254+O254</f>
        <v>200000</v>
      </c>
      <c r="K254" s="73">
        <v>200000</v>
      </c>
      <c r="L254" s="73"/>
      <c r="M254" s="73"/>
      <c r="N254" s="73"/>
      <c r="O254" s="73">
        <f>K254</f>
        <v>200000</v>
      </c>
      <c r="P254" s="252">
        <f t="shared" si="40"/>
        <v>640702</v>
      </c>
    </row>
    <row r="255" spans="1:16" s="40" customFormat="1" ht="56.25">
      <c r="A255" s="259" t="s">
        <v>336</v>
      </c>
      <c r="B255" s="72" t="s">
        <v>337</v>
      </c>
      <c r="C255" s="72" t="s">
        <v>338</v>
      </c>
      <c r="D255" s="90" t="s">
        <v>339</v>
      </c>
      <c r="E255" s="73">
        <f>F255</f>
        <v>27000</v>
      </c>
      <c r="F255" s="73">
        <v>27000</v>
      </c>
      <c r="G255" s="73"/>
      <c r="H255" s="73"/>
      <c r="I255" s="73"/>
      <c r="J255" s="73"/>
      <c r="K255" s="73"/>
      <c r="L255" s="73"/>
      <c r="M255" s="73"/>
      <c r="N255" s="73"/>
      <c r="O255" s="73"/>
      <c r="P255" s="252">
        <f t="shared" si="40"/>
        <v>27000</v>
      </c>
    </row>
    <row r="256" spans="1:16" s="40" customFormat="1" ht="38.25" thickBot="1">
      <c r="A256" s="255" t="s">
        <v>860</v>
      </c>
      <c r="B256" s="59" t="s">
        <v>774</v>
      </c>
      <c r="C256" s="59" t="s">
        <v>519</v>
      </c>
      <c r="D256" s="71" t="s">
        <v>775</v>
      </c>
      <c r="E256" s="61">
        <f>F256</f>
        <v>178527</v>
      </c>
      <c r="F256" s="61">
        <f>200000-10300-11173</f>
        <v>178527</v>
      </c>
      <c r="G256" s="61"/>
      <c r="H256" s="61"/>
      <c r="I256" s="61"/>
      <c r="J256" s="61">
        <f>O256+L256</f>
        <v>45473</v>
      </c>
      <c r="K256" s="61">
        <f>10300+24000+11173</f>
        <v>45473</v>
      </c>
      <c r="L256" s="61"/>
      <c r="M256" s="61"/>
      <c r="N256" s="61"/>
      <c r="O256" s="61">
        <f>K256</f>
        <v>45473</v>
      </c>
      <c r="P256" s="256">
        <f t="shared" si="40"/>
        <v>224000</v>
      </c>
    </row>
    <row r="257" spans="1:16" s="40" customFormat="1" ht="81" customHeight="1">
      <c r="A257" s="257" t="s">
        <v>861</v>
      </c>
      <c r="B257" s="45"/>
      <c r="C257" s="45"/>
      <c r="D257" s="64" t="s">
        <v>862</v>
      </c>
      <c r="E257" s="65">
        <f>E258</f>
        <v>3544634</v>
      </c>
      <c r="F257" s="65">
        <f aca="true" t="shared" si="44" ref="F257:O257">F258</f>
        <v>3544634</v>
      </c>
      <c r="G257" s="65">
        <f t="shared" si="44"/>
        <v>1532488</v>
      </c>
      <c r="H257" s="65">
        <f t="shared" si="44"/>
        <v>222201</v>
      </c>
      <c r="I257" s="65"/>
      <c r="J257" s="65">
        <f t="shared" si="44"/>
        <v>3351533</v>
      </c>
      <c r="K257" s="65">
        <f t="shared" si="44"/>
        <v>3310709</v>
      </c>
      <c r="L257" s="65">
        <f t="shared" si="44"/>
        <v>40824</v>
      </c>
      <c r="M257" s="65"/>
      <c r="N257" s="65"/>
      <c r="O257" s="65">
        <f t="shared" si="44"/>
        <v>3310709</v>
      </c>
      <c r="P257" s="258">
        <f t="shared" si="40"/>
        <v>6896167</v>
      </c>
    </row>
    <row r="258" spans="1:16" s="40" customFormat="1" ht="79.5" customHeight="1">
      <c r="A258" s="251" t="s">
        <v>863</v>
      </c>
      <c r="B258" s="41"/>
      <c r="C258" s="41"/>
      <c r="D258" s="64" t="s">
        <v>862</v>
      </c>
      <c r="E258" s="38">
        <f>SUM(E259:E269)</f>
        <v>3544634</v>
      </c>
      <c r="F258" s="38">
        <f aca="true" t="shared" si="45" ref="F258:O258">SUM(F259:F269)</f>
        <v>3544634</v>
      </c>
      <c r="G258" s="38">
        <f t="shared" si="45"/>
        <v>1532488</v>
      </c>
      <c r="H258" s="38">
        <f t="shared" si="45"/>
        <v>222201</v>
      </c>
      <c r="I258" s="38"/>
      <c r="J258" s="38">
        <f t="shared" si="45"/>
        <v>3351533</v>
      </c>
      <c r="K258" s="38">
        <f t="shared" si="45"/>
        <v>3310709</v>
      </c>
      <c r="L258" s="38">
        <f t="shared" si="45"/>
        <v>40824</v>
      </c>
      <c r="M258" s="38"/>
      <c r="N258" s="38"/>
      <c r="O258" s="38">
        <f t="shared" si="45"/>
        <v>3310709</v>
      </c>
      <c r="P258" s="252">
        <f t="shared" si="40"/>
        <v>6896167</v>
      </c>
    </row>
    <row r="259" spans="1:18" s="40" customFormat="1" ht="56.25">
      <c r="A259" s="253" t="s">
        <v>864</v>
      </c>
      <c r="B259" s="41" t="s">
        <v>536</v>
      </c>
      <c r="C259" s="41" t="s">
        <v>389</v>
      </c>
      <c r="D259" s="44" t="s">
        <v>537</v>
      </c>
      <c r="E259" s="43">
        <f>F259</f>
        <v>1728708</v>
      </c>
      <c r="F259" s="43">
        <f>1728329+379</f>
        <v>1728708</v>
      </c>
      <c r="G259" s="43">
        <v>1518533</v>
      </c>
      <c r="H259" s="43">
        <v>57113</v>
      </c>
      <c r="I259" s="43"/>
      <c r="J259" s="43">
        <f>L259+O259</f>
        <v>40824</v>
      </c>
      <c r="K259" s="43"/>
      <c r="L259" s="43">
        <v>40824</v>
      </c>
      <c r="M259" s="43"/>
      <c r="N259" s="43"/>
      <c r="O259" s="43"/>
      <c r="P259" s="252">
        <f>E259+J259</f>
        <v>1769532</v>
      </c>
      <c r="R259" s="39"/>
    </row>
    <row r="260" spans="1:18" s="40" customFormat="1" ht="18.75">
      <c r="A260" s="253" t="s">
        <v>256</v>
      </c>
      <c r="B260" s="41" t="s">
        <v>49</v>
      </c>
      <c r="C260" s="41" t="s">
        <v>50</v>
      </c>
      <c r="D260" s="44" t="s">
        <v>51</v>
      </c>
      <c r="E260" s="43">
        <f>F260+I260</f>
        <v>13955</v>
      </c>
      <c r="F260" s="43">
        <f>13955</f>
        <v>13955</v>
      </c>
      <c r="G260" s="43">
        <v>13955</v>
      </c>
      <c r="H260" s="43"/>
      <c r="I260" s="43"/>
      <c r="J260" s="43"/>
      <c r="K260" s="43"/>
      <c r="L260" s="43"/>
      <c r="M260" s="43"/>
      <c r="N260" s="43"/>
      <c r="O260" s="43"/>
      <c r="P260" s="252">
        <f>E260+J260</f>
        <v>13955</v>
      </c>
      <c r="R260" s="39"/>
    </row>
    <row r="261" spans="1:16" s="40" customFormat="1" ht="45" customHeight="1">
      <c r="A261" s="253" t="s">
        <v>865</v>
      </c>
      <c r="B261" s="41" t="s">
        <v>456</v>
      </c>
      <c r="C261" s="41" t="s">
        <v>444</v>
      </c>
      <c r="D261" s="44" t="s">
        <v>457</v>
      </c>
      <c r="E261" s="43">
        <f>F261+I261</f>
        <v>50000</v>
      </c>
      <c r="F261" s="43">
        <v>50000</v>
      </c>
      <c r="G261" s="43"/>
      <c r="H261" s="43"/>
      <c r="I261" s="43"/>
      <c r="J261" s="43"/>
      <c r="K261" s="43"/>
      <c r="L261" s="43"/>
      <c r="M261" s="43"/>
      <c r="N261" s="43"/>
      <c r="O261" s="43"/>
      <c r="P261" s="252">
        <f aca="true" t="shared" si="46" ref="P261:P304">E261+J261</f>
        <v>50000</v>
      </c>
    </row>
    <row r="262" spans="1:16" s="40" customFormat="1" ht="18.75">
      <c r="A262" s="253" t="s">
        <v>866</v>
      </c>
      <c r="B262" s="41" t="s">
        <v>462</v>
      </c>
      <c r="C262" s="41" t="s">
        <v>444</v>
      </c>
      <c r="D262" s="44" t="s">
        <v>463</v>
      </c>
      <c r="E262" s="43">
        <f>F262+I262</f>
        <v>1421479</v>
      </c>
      <c r="F262" s="43">
        <f>689049+4380+180050+398000+150000</f>
        <v>1421479</v>
      </c>
      <c r="G262" s="43"/>
      <c r="H262" s="43">
        <v>165088</v>
      </c>
      <c r="I262" s="43"/>
      <c r="J262" s="43">
        <f>L262+O262</f>
        <v>45000</v>
      </c>
      <c r="K262" s="43">
        <v>45000</v>
      </c>
      <c r="L262" s="43"/>
      <c r="M262" s="43"/>
      <c r="N262" s="43"/>
      <c r="O262" s="43">
        <f>K262</f>
        <v>45000</v>
      </c>
      <c r="P262" s="252">
        <f t="shared" si="46"/>
        <v>1466479</v>
      </c>
    </row>
    <row r="263" spans="1:16" s="40" customFormat="1" ht="18.75">
      <c r="A263" s="253" t="s">
        <v>867</v>
      </c>
      <c r="B263" s="41" t="s">
        <v>475</v>
      </c>
      <c r="C263" s="41" t="s">
        <v>476</v>
      </c>
      <c r="D263" s="44" t="s">
        <v>477</v>
      </c>
      <c r="E263" s="43">
        <f>F263</f>
        <v>47992</v>
      </c>
      <c r="F263" s="43">
        <f>45000+2922+70</f>
        <v>47992</v>
      </c>
      <c r="G263" s="43"/>
      <c r="H263" s="43"/>
      <c r="I263" s="43"/>
      <c r="J263" s="43"/>
      <c r="K263" s="43"/>
      <c r="L263" s="43"/>
      <c r="M263" s="43"/>
      <c r="N263" s="43"/>
      <c r="O263" s="43"/>
      <c r="P263" s="252">
        <f t="shared" si="46"/>
        <v>47992</v>
      </c>
    </row>
    <row r="264" spans="1:16" s="40" customFormat="1" ht="37.5">
      <c r="A264" s="253" t="s">
        <v>257</v>
      </c>
      <c r="B264" s="72" t="s">
        <v>26</v>
      </c>
      <c r="C264" s="72" t="s">
        <v>480</v>
      </c>
      <c r="D264" s="90" t="s">
        <v>27</v>
      </c>
      <c r="E264" s="43"/>
      <c r="F264" s="43"/>
      <c r="G264" s="43"/>
      <c r="H264" s="43"/>
      <c r="I264" s="43"/>
      <c r="J264" s="43">
        <f>L264+O264</f>
        <v>85522</v>
      </c>
      <c r="K264" s="43">
        <f>85522</f>
        <v>85522</v>
      </c>
      <c r="L264" s="43"/>
      <c r="M264" s="43"/>
      <c r="N264" s="43"/>
      <c r="O264" s="43">
        <f aca="true" t="shared" si="47" ref="O264:O269">K264</f>
        <v>85522</v>
      </c>
      <c r="P264" s="252">
        <f t="shared" si="46"/>
        <v>85522</v>
      </c>
    </row>
    <row r="265" spans="1:16" s="40" customFormat="1" ht="37.5">
      <c r="A265" s="253" t="s">
        <v>868</v>
      </c>
      <c r="B265" s="41" t="s">
        <v>483</v>
      </c>
      <c r="C265" s="41" t="s">
        <v>480</v>
      </c>
      <c r="D265" s="44" t="s">
        <v>900</v>
      </c>
      <c r="E265" s="43"/>
      <c r="F265" s="43"/>
      <c r="G265" s="43"/>
      <c r="H265" s="43"/>
      <c r="I265" s="43"/>
      <c r="J265" s="43">
        <f>L265+O265</f>
        <v>1036061</v>
      </c>
      <c r="K265" s="43">
        <f>824975+199382+11704</f>
        <v>1036061</v>
      </c>
      <c r="L265" s="43"/>
      <c r="M265" s="43"/>
      <c r="N265" s="43"/>
      <c r="O265" s="43">
        <f t="shared" si="47"/>
        <v>1036061</v>
      </c>
      <c r="P265" s="252">
        <f t="shared" si="46"/>
        <v>1036061</v>
      </c>
    </row>
    <row r="266" spans="1:16" s="40" customFormat="1" ht="37.5">
      <c r="A266" s="253" t="s">
        <v>869</v>
      </c>
      <c r="B266" s="41" t="s">
        <v>870</v>
      </c>
      <c r="C266" s="41" t="s">
        <v>480</v>
      </c>
      <c r="D266" s="44" t="s">
        <v>871</v>
      </c>
      <c r="E266" s="43"/>
      <c r="F266" s="43"/>
      <c r="G266" s="43"/>
      <c r="H266" s="43"/>
      <c r="I266" s="43"/>
      <c r="J266" s="43">
        <f>L266+O266</f>
        <v>144600</v>
      </c>
      <c r="K266" s="43">
        <v>144600</v>
      </c>
      <c r="L266" s="43"/>
      <c r="M266" s="43"/>
      <c r="N266" s="43"/>
      <c r="O266" s="43">
        <f t="shared" si="47"/>
        <v>144600</v>
      </c>
      <c r="P266" s="252">
        <f t="shared" si="46"/>
        <v>144600</v>
      </c>
    </row>
    <row r="267" spans="1:16" s="40" customFormat="1" ht="56.25">
      <c r="A267" s="253" t="s">
        <v>309</v>
      </c>
      <c r="B267" s="41" t="s">
        <v>310</v>
      </c>
      <c r="C267" s="41" t="s">
        <v>486</v>
      </c>
      <c r="D267" s="44" t="s">
        <v>311</v>
      </c>
      <c r="E267" s="43"/>
      <c r="F267" s="43"/>
      <c r="G267" s="43"/>
      <c r="H267" s="43"/>
      <c r="I267" s="43"/>
      <c r="J267" s="43">
        <f>K267</f>
        <v>1413978</v>
      </c>
      <c r="K267" s="43">
        <f>1186100+227878</f>
        <v>1413978</v>
      </c>
      <c r="L267" s="43"/>
      <c r="M267" s="43"/>
      <c r="N267" s="43"/>
      <c r="O267" s="43">
        <f t="shared" si="47"/>
        <v>1413978</v>
      </c>
      <c r="P267" s="252">
        <f t="shared" si="46"/>
        <v>1413978</v>
      </c>
    </row>
    <row r="268" spans="1:16" s="40" customFormat="1" ht="57.75" customHeight="1">
      <c r="A268" s="253" t="s">
        <v>872</v>
      </c>
      <c r="B268" s="41" t="s">
        <v>493</v>
      </c>
      <c r="C268" s="41" t="s">
        <v>494</v>
      </c>
      <c r="D268" s="44" t="s">
        <v>495</v>
      </c>
      <c r="E268" s="43">
        <f>F268+I268</f>
        <v>282500</v>
      </c>
      <c r="F268" s="43">
        <f>462550-180050</f>
        <v>282500</v>
      </c>
      <c r="G268" s="43"/>
      <c r="H268" s="43"/>
      <c r="I268" s="43"/>
      <c r="J268" s="43">
        <f>L268+O268</f>
        <v>119246</v>
      </c>
      <c r="K268" s="43">
        <f>119246</f>
        <v>119246</v>
      </c>
      <c r="L268" s="43"/>
      <c r="M268" s="43"/>
      <c r="N268" s="43"/>
      <c r="O268" s="43">
        <f t="shared" si="47"/>
        <v>119246</v>
      </c>
      <c r="P268" s="252">
        <f t="shared" si="46"/>
        <v>401746</v>
      </c>
    </row>
    <row r="269" spans="1:16" s="40" customFormat="1" ht="42.75" customHeight="1" thickBot="1">
      <c r="A269" s="255" t="s">
        <v>874</v>
      </c>
      <c r="B269" s="59" t="s">
        <v>510</v>
      </c>
      <c r="C269" s="59" t="s">
        <v>486</v>
      </c>
      <c r="D269" s="71" t="s">
        <v>511</v>
      </c>
      <c r="E269" s="61"/>
      <c r="F269" s="61"/>
      <c r="G269" s="61"/>
      <c r="H269" s="61"/>
      <c r="I269" s="61"/>
      <c r="J269" s="61">
        <f>L269+O269</f>
        <v>466302</v>
      </c>
      <c r="K269" s="61">
        <v>466302</v>
      </c>
      <c r="L269" s="61"/>
      <c r="M269" s="61"/>
      <c r="N269" s="61"/>
      <c r="O269" s="61">
        <f t="shared" si="47"/>
        <v>466302</v>
      </c>
      <c r="P269" s="256">
        <f t="shared" si="46"/>
        <v>466302</v>
      </c>
    </row>
    <row r="270" spans="1:16" s="50" customFormat="1" ht="37.5">
      <c r="A270" s="257" t="s">
        <v>875</v>
      </c>
      <c r="B270" s="63"/>
      <c r="C270" s="63"/>
      <c r="D270" s="98" t="s">
        <v>876</v>
      </c>
      <c r="E270" s="65">
        <f>E271</f>
        <v>1578619</v>
      </c>
      <c r="F270" s="65">
        <f aca="true" t="shared" si="48" ref="F270:H271">F271</f>
        <v>1578619</v>
      </c>
      <c r="G270" s="65">
        <f t="shared" si="48"/>
        <v>1416048</v>
      </c>
      <c r="H270" s="65">
        <f t="shared" si="48"/>
        <v>76224</v>
      </c>
      <c r="I270" s="65"/>
      <c r="J270" s="65"/>
      <c r="K270" s="65"/>
      <c r="L270" s="65"/>
      <c r="M270" s="65"/>
      <c r="N270" s="65"/>
      <c r="O270" s="65"/>
      <c r="P270" s="258">
        <f t="shared" si="46"/>
        <v>1578619</v>
      </c>
    </row>
    <row r="271" spans="1:16" s="50" customFormat="1" ht="37.5">
      <c r="A271" s="257" t="s">
        <v>877</v>
      </c>
      <c r="B271" s="63"/>
      <c r="C271" s="63"/>
      <c r="D271" s="98" t="s">
        <v>876</v>
      </c>
      <c r="E271" s="65">
        <f>E272</f>
        <v>1578619</v>
      </c>
      <c r="F271" s="65">
        <f t="shared" si="48"/>
        <v>1578619</v>
      </c>
      <c r="G271" s="65">
        <f t="shared" si="48"/>
        <v>1416048</v>
      </c>
      <c r="H271" s="65">
        <f t="shared" si="48"/>
        <v>76224</v>
      </c>
      <c r="I271" s="65"/>
      <c r="J271" s="65"/>
      <c r="K271" s="65"/>
      <c r="L271" s="65"/>
      <c r="M271" s="65"/>
      <c r="N271" s="65"/>
      <c r="O271" s="65"/>
      <c r="P271" s="258">
        <f t="shared" si="46"/>
        <v>1578619</v>
      </c>
    </row>
    <row r="272" spans="1:16" s="40" customFormat="1" ht="57" thickBot="1">
      <c r="A272" s="255" t="s">
        <v>878</v>
      </c>
      <c r="B272" s="59" t="s">
        <v>536</v>
      </c>
      <c r="C272" s="59" t="s">
        <v>389</v>
      </c>
      <c r="D272" s="71" t="s">
        <v>537</v>
      </c>
      <c r="E272" s="61">
        <f>F272</f>
        <v>1578619</v>
      </c>
      <c r="F272" s="61">
        <f>1528619+50000</f>
        <v>1578619</v>
      </c>
      <c r="G272" s="61">
        <v>1416048</v>
      </c>
      <c r="H272" s="61">
        <f>75890+334</f>
        <v>76224</v>
      </c>
      <c r="I272" s="61"/>
      <c r="J272" s="61"/>
      <c r="K272" s="61"/>
      <c r="L272" s="61"/>
      <c r="M272" s="61"/>
      <c r="N272" s="61"/>
      <c r="O272" s="61"/>
      <c r="P272" s="256">
        <f t="shared" si="46"/>
        <v>1578619</v>
      </c>
    </row>
    <row r="273" spans="1:16" s="40" customFormat="1" ht="37.5">
      <c r="A273" s="257" t="s">
        <v>879</v>
      </c>
      <c r="B273" s="63"/>
      <c r="C273" s="63"/>
      <c r="D273" s="98" t="s">
        <v>880</v>
      </c>
      <c r="E273" s="65">
        <f>E274</f>
        <v>12729188</v>
      </c>
      <c r="F273" s="65">
        <f aca="true" t="shared" si="49" ref="F273:O273">F274</f>
        <v>9028118</v>
      </c>
      <c r="G273" s="65">
        <f t="shared" si="49"/>
        <v>2619906</v>
      </c>
      <c r="H273" s="65">
        <f t="shared" si="49"/>
        <v>99547</v>
      </c>
      <c r="I273" s="65">
        <f t="shared" si="49"/>
        <v>3501070</v>
      </c>
      <c r="J273" s="65">
        <f t="shared" si="49"/>
        <v>50500</v>
      </c>
      <c r="K273" s="65">
        <f t="shared" si="49"/>
        <v>50500</v>
      </c>
      <c r="L273" s="65"/>
      <c r="M273" s="65"/>
      <c r="N273" s="65"/>
      <c r="O273" s="65">
        <f t="shared" si="49"/>
        <v>50500</v>
      </c>
      <c r="P273" s="252">
        <f t="shared" si="46"/>
        <v>12779688</v>
      </c>
    </row>
    <row r="274" spans="1:16" s="40" customFormat="1" ht="37.5">
      <c r="A274" s="257" t="s">
        <v>881</v>
      </c>
      <c r="B274" s="63"/>
      <c r="C274" s="63"/>
      <c r="D274" s="98" t="s">
        <v>880</v>
      </c>
      <c r="E274" s="65">
        <f>E275+E276+E280+E297+E279+E277+E278</f>
        <v>12729188</v>
      </c>
      <c r="F274" s="65">
        <f aca="true" t="shared" si="50" ref="F274:O274">F275+F276+F280+F297+F279+F277+F278</f>
        <v>9028118</v>
      </c>
      <c r="G274" s="65">
        <f t="shared" si="50"/>
        <v>2619906</v>
      </c>
      <c r="H274" s="65">
        <f t="shared" si="50"/>
        <v>99547</v>
      </c>
      <c r="I274" s="65">
        <f t="shared" si="50"/>
        <v>3501070</v>
      </c>
      <c r="J274" s="65">
        <f t="shared" si="50"/>
        <v>50500</v>
      </c>
      <c r="K274" s="65">
        <f t="shared" si="50"/>
        <v>50500</v>
      </c>
      <c r="L274" s="65"/>
      <c r="M274" s="65"/>
      <c r="N274" s="65"/>
      <c r="O274" s="65">
        <f t="shared" si="50"/>
        <v>50500</v>
      </c>
      <c r="P274" s="252">
        <f t="shared" si="46"/>
        <v>12779688</v>
      </c>
    </row>
    <row r="275" spans="1:16" s="40" customFormat="1" ht="56.25">
      <c r="A275" s="259" t="s">
        <v>882</v>
      </c>
      <c r="B275" s="72" t="s">
        <v>536</v>
      </c>
      <c r="C275" s="72" t="s">
        <v>389</v>
      </c>
      <c r="D275" s="90" t="s">
        <v>537</v>
      </c>
      <c r="E275" s="73">
        <f>F275</f>
        <v>2847625</v>
      </c>
      <c r="F275" s="73">
        <f>2883125-35500</f>
        <v>2847625</v>
      </c>
      <c r="G275" s="73">
        <v>2619906</v>
      </c>
      <c r="H275" s="73">
        <f>99067+480</f>
        <v>99547</v>
      </c>
      <c r="I275" s="73"/>
      <c r="J275" s="73">
        <f>L275+O275</f>
        <v>50500</v>
      </c>
      <c r="K275" s="73">
        <f>35500+15000</f>
        <v>50500</v>
      </c>
      <c r="L275" s="73"/>
      <c r="M275" s="73"/>
      <c r="N275" s="73"/>
      <c r="O275" s="73">
        <f>K275</f>
        <v>50500</v>
      </c>
      <c r="P275" s="252">
        <f t="shared" si="46"/>
        <v>2898125</v>
      </c>
    </row>
    <row r="276" spans="1:16" s="40" customFormat="1" ht="18.75">
      <c r="A276" s="253" t="s">
        <v>883</v>
      </c>
      <c r="B276" s="41" t="s">
        <v>884</v>
      </c>
      <c r="C276" s="41" t="s">
        <v>396</v>
      </c>
      <c r="D276" s="44" t="s">
        <v>885</v>
      </c>
      <c r="E276" s="43">
        <v>200000</v>
      </c>
      <c r="F276" s="43"/>
      <c r="G276" s="43"/>
      <c r="H276" s="43"/>
      <c r="I276" s="43"/>
      <c r="J276" s="43"/>
      <c r="K276" s="43"/>
      <c r="L276" s="43"/>
      <c r="M276" s="43"/>
      <c r="N276" s="43"/>
      <c r="O276" s="43"/>
      <c r="P276" s="252">
        <f t="shared" si="46"/>
        <v>200000</v>
      </c>
    </row>
    <row r="277" spans="1:16" s="40" customFormat="1" ht="81.75" customHeight="1">
      <c r="A277" s="253" t="s">
        <v>341</v>
      </c>
      <c r="B277" s="41" t="s">
        <v>342</v>
      </c>
      <c r="C277" s="41" t="s">
        <v>395</v>
      </c>
      <c r="D277" s="44" t="s">
        <v>334</v>
      </c>
      <c r="E277" s="43">
        <f>F277+I277</f>
        <v>305000</v>
      </c>
      <c r="F277" s="43"/>
      <c r="G277" s="43"/>
      <c r="H277" s="43"/>
      <c r="I277" s="43">
        <f>305000</f>
        <v>305000</v>
      </c>
      <c r="J277" s="43"/>
      <c r="K277" s="43"/>
      <c r="L277" s="43"/>
      <c r="M277" s="43"/>
      <c r="N277" s="43"/>
      <c r="O277" s="43"/>
      <c r="P277" s="252">
        <f>E277+J277</f>
        <v>305000</v>
      </c>
    </row>
    <row r="278" spans="1:16" s="40" customFormat="1" ht="37.5">
      <c r="A278" s="253" t="s">
        <v>343</v>
      </c>
      <c r="B278" s="41" t="s">
        <v>344</v>
      </c>
      <c r="C278" s="41" t="s">
        <v>395</v>
      </c>
      <c r="D278" s="44" t="s">
        <v>333</v>
      </c>
      <c r="E278" s="43">
        <f>F278+I278</f>
        <v>550000</v>
      </c>
      <c r="F278" s="43"/>
      <c r="G278" s="43"/>
      <c r="H278" s="43"/>
      <c r="I278" s="43">
        <v>550000</v>
      </c>
      <c r="J278" s="43"/>
      <c r="K278" s="43"/>
      <c r="L278" s="43"/>
      <c r="M278" s="43"/>
      <c r="N278" s="43"/>
      <c r="O278" s="43"/>
      <c r="P278" s="252">
        <f>E278+J278</f>
        <v>550000</v>
      </c>
    </row>
    <row r="279" spans="1:16" s="40" customFormat="1" ht="112.5">
      <c r="A279" s="253" t="s">
        <v>101</v>
      </c>
      <c r="B279" s="41" t="s">
        <v>102</v>
      </c>
      <c r="C279" s="41" t="s">
        <v>395</v>
      </c>
      <c r="D279" s="44" t="s">
        <v>98</v>
      </c>
      <c r="E279" s="43">
        <f>F279+I279</f>
        <v>2400068</v>
      </c>
      <c r="F279" s="43">
        <v>400068</v>
      </c>
      <c r="G279" s="43"/>
      <c r="H279" s="43"/>
      <c r="I279" s="43">
        <v>2000000</v>
      </c>
      <c r="J279" s="43"/>
      <c r="K279" s="43"/>
      <c r="L279" s="43"/>
      <c r="M279" s="43"/>
      <c r="N279" s="43"/>
      <c r="O279" s="43"/>
      <c r="P279" s="252">
        <f t="shared" si="46"/>
        <v>2400068</v>
      </c>
    </row>
    <row r="280" spans="1:16" s="40" customFormat="1" ht="18.75">
      <c r="A280" s="253" t="s">
        <v>886</v>
      </c>
      <c r="B280" s="41" t="s">
        <v>887</v>
      </c>
      <c r="C280" s="41" t="s">
        <v>395</v>
      </c>
      <c r="D280" s="44" t="s">
        <v>888</v>
      </c>
      <c r="E280" s="43">
        <f>F280+I280</f>
        <v>5422380</v>
      </c>
      <c r="F280" s="43">
        <f>F282+F294+F296</f>
        <v>4954380</v>
      </c>
      <c r="G280" s="43"/>
      <c r="H280" s="43"/>
      <c r="I280" s="43">
        <f>I282+I294+I296+I295</f>
        <v>468000</v>
      </c>
      <c r="J280" s="43"/>
      <c r="K280" s="43"/>
      <c r="L280" s="43"/>
      <c r="M280" s="43"/>
      <c r="N280" s="43"/>
      <c r="O280" s="43"/>
      <c r="P280" s="252">
        <f t="shared" si="46"/>
        <v>5422380</v>
      </c>
    </row>
    <row r="281" spans="1:16" s="40" customFormat="1" ht="18.75">
      <c r="A281" s="253"/>
      <c r="B281" s="41"/>
      <c r="C281" s="41"/>
      <c r="D281" s="44" t="s">
        <v>13</v>
      </c>
      <c r="E281" s="43"/>
      <c r="F281" s="43"/>
      <c r="G281" s="43"/>
      <c r="H281" s="43"/>
      <c r="I281" s="43"/>
      <c r="J281" s="43"/>
      <c r="K281" s="43"/>
      <c r="L281" s="43"/>
      <c r="M281" s="43"/>
      <c r="N281" s="43"/>
      <c r="O281" s="43"/>
      <c r="P281" s="252"/>
    </row>
    <row r="282" spans="1:16" s="40" customFormat="1" ht="18.75">
      <c r="A282" s="253"/>
      <c r="B282" s="41"/>
      <c r="C282" s="41"/>
      <c r="D282" s="44" t="s">
        <v>30</v>
      </c>
      <c r="E282" s="43">
        <f>E283+E285+E293+E292</f>
        <v>5005028</v>
      </c>
      <c r="F282" s="43">
        <f>F283+F285+F293+F292</f>
        <v>4705028</v>
      </c>
      <c r="G282" s="43"/>
      <c r="H282" s="43"/>
      <c r="I282" s="43">
        <f>I283+I285+I293+I292</f>
        <v>300000</v>
      </c>
      <c r="J282" s="43"/>
      <c r="K282" s="43"/>
      <c r="L282" s="43"/>
      <c r="M282" s="43"/>
      <c r="N282" s="43"/>
      <c r="O282" s="43"/>
      <c r="P282" s="252">
        <f t="shared" si="46"/>
        <v>5005028</v>
      </c>
    </row>
    <row r="283" spans="1:16" s="40" customFormat="1" ht="18.75">
      <c r="A283" s="253"/>
      <c r="B283" s="41"/>
      <c r="C283" s="41"/>
      <c r="D283" s="44" t="s">
        <v>889</v>
      </c>
      <c r="E283" s="43">
        <f>F283</f>
        <v>4056900</v>
      </c>
      <c r="F283" s="43">
        <f>3811900+245000</f>
        <v>4056900</v>
      </c>
      <c r="G283" s="43"/>
      <c r="H283" s="43"/>
      <c r="I283" s="43"/>
      <c r="J283" s="43"/>
      <c r="K283" s="43"/>
      <c r="L283" s="43"/>
      <c r="M283" s="43"/>
      <c r="N283" s="43"/>
      <c r="O283" s="43"/>
      <c r="P283" s="252">
        <f t="shared" si="46"/>
        <v>4056900</v>
      </c>
    </row>
    <row r="284" spans="1:16" s="40" customFormat="1" ht="18.75" hidden="1">
      <c r="A284" s="253"/>
      <c r="B284" s="41"/>
      <c r="C284" s="41"/>
      <c r="D284" s="42" t="s">
        <v>890</v>
      </c>
      <c r="E284" s="43"/>
      <c r="F284" s="43"/>
      <c r="G284" s="43"/>
      <c r="H284" s="43"/>
      <c r="I284" s="43"/>
      <c r="J284" s="43"/>
      <c r="K284" s="43"/>
      <c r="L284" s="43"/>
      <c r="M284" s="43"/>
      <c r="N284" s="43"/>
      <c r="O284" s="43"/>
      <c r="P284" s="252">
        <f t="shared" si="46"/>
        <v>0</v>
      </c>
    </row>
    <row r="285" spans="1:16" s="40" customFormat="1" ht="18.75">
      <c r="A285" s="253"/>
      <c r="B285" s="41"/>
      <c r="C285" s="41"/>
      <c r="D285" s="44" t="s">
        <v>891</v>
      </c>
      <c r="E285" s="43">
        <f>F285</f>
        <v>620074</v>
      </c>
      <c r="F285" s="43">
        <v>620074</v>
      </c>
      <c r="G285" s="43"/>
      <c r="H285" s="43"/>
      <c r="I285" s="43"/>
      <c r="J285" s="43"/>
      <c r="K285" s="43"/>
      <c r="L285" s="43"/>
      <c r="M285" s="43"/>
      <c r="N285" s="43"/>
      <c r="O285" s="43"/>
      <c r="P285" s="252">
        <f t="shared" si="46"/>
        <v>620074</v>
      </c>
    </row>
    <row r="286" spans="1:16" s="40" customFormat="1" ht="18.75" hidden="1">
      <c r="A286" s="253"/>
      <c r="B286" s="41"/>
      <c r="C286" s="41"/>
      <c r="D286" s="42" t="s">
        <v>890</v>
      </c>
      <c r="E286" s="43"/>
      <c r="F286" s="43"/>
      <c r="G286" s="43"/>
      <c r="H286" s="43"/>
      <c r="I286" s="43"/>
      <c r="J286" s="43"/>
      <c r="K286" s="43"/>
      <c r="L286" s="43"/>
      <c r="M286" s="43"/>
      <c r="N286" s="43"/>
      <c r="O286" s="43"/>
      <c r="P286" s="252">
        <f t="shared" si="46"/>
        <v>0</v>
      </c>
    </row>
    <row r="287" spans="1:16" s="40" customFormat="1" ht="37.5" hidden="1">
      <c r="A287" s="257"/>
      <c r="B287" s="63"/>
      <c r="C287" s="63"/>
      <c r="D287" s="98" t="s">
        <v>892</v>
      </c>
      <c r="E287" s="65"/>
      <c r="F287" s="65"/>
      <c r="G287" s="65"/>
      <c r="H287" s="65"/>
      <c r="I287" s="65"/>
      <c r="J287" s="65"/>
      <c r="K287" s="65"/>
      <c r="L287" s="65"/>
      <c r="M287" s="65"/>
      <c r="N287" s="65"/>
      <c r="O287" s="65"/>
      <c r="P287" s="252">
        <f t="shared" si="46"/>
        <v>0</v>
      </c>
    </row>
    <row r="288" spans="1:16" s="40" customFormat="1" ht="18.75" hidden="1">
      <c r="A288" s="251"/>
      <c r="B288" s="36"/>
      <c r="C288" s="36"/>
      <c r="D288" s="37" t="s">
        <v>893</v>
      </c>
      <c r="E288" s="38"/>
      <c r="F288" s="38"/>
      <c r="G288" s="38"/>
      <c r="H288" s="38"/>
      <c r="I288" s="38"/>
      <c r="J288" s="38"/>
      <c r="K288" s="38"/>
      <c r="L288" s="38"/>
      <c r="M288" s="38"/>
      <c r="N288" s="38"/>
      <c r="O288" s="38"/>
      <c r="P288" s="252">
        <f t="shared" si="46"/>
        <v>0</v>
      </c>
    </row>
    <row r="289" spans="1:16" s="40" customFormat="1" ht="57" hidden="1" thickBot="1">
      <c r="A289" s="255"/>
      <c r="B289" s="59"/>
      <c r="C289" s="59"/>
      <c r="D289" s="71" t="s">
        <v>855</v>
      </c>
      <c r="E289" s="61"/>
      <c r="F289" s="61"/>
      <c r="G289" s="61"/>
      <c r="H289" s="61"/>
      <c r="I289" s="61"/>
      <c r="J289" s="61"/>
      <c r="K289" s="61"/>
      <c r="L289" s="61"/>
      <c r="M289" s="61"/>
      <c r="N289" s="61"/>
      <c r="O289" s="61"/>
      <c r="P289" s="252">
        <f t="shared" si="46"/>
        <v>0</v>
      </c>
    </row>
    <row r="290" spans="1:16" s="40" customFormat="1" ht="37.5" hidden="1">
      <c r="A290" s="253"/>
      <c r="B290" s="41"/>
      <c r="C290" s="41"/>
      <c r="D290" s="55" t="s">
        <v>894</v>
      </c>
      <c r="E290" s="43"/>
      <c r="F290" s="43"/>
      <c r="G290" s="43"/>
      <c r="H290" s="43"/>
      <c r="I290" s="43"/>
      <c r="J290" s="43"/>
      <c r="K290" s="43"/>
      <c r="L290" s="43"/>
      <c r="M290" s="43"/>
      <c r="N290" s="43"/>
      <c r="O290" s="43"/>
      <c r="P290" s="252">
        <f t="shared" si="46"/>
        <v>0</v>
      </c>
    </row>
    <row r="291" spans="1:16" s="40" customFormat="1" ht="18.75" hidden="1">
      <c r="A291" s="259"/>
      <c r="B291" s="72"/>
      <c r="C291" s="72"/>
      <c r="D291" s="99"/>
      <c r="E291" s="73"/>
      <c r="F291" s="73"/>
      <c r="G291" s="73"/>
      <c r="H291" s="73"/>
      <c r="I291" s="73"/>
      <c r="J291" s="73"/>
      <c r="K291" s="73"/>
      <c r="L291" s="73"/>
      <c r="M291" s="73"/>
      <c r="N291" s="73"/>
      <c r="O291" s="73"/>
      <c r="P291" s="252">
        <f t="shared" si="46"/>
        <v>0</v>
      </c>
    </row>
    <row r="292" spans="1:16" s="40" customFormat="1" ht="93.75">
      <c r="A292" s="259"/>
      <c r="B292" s="72"/>
      <c r="C292" s="72"/>
      <c r="D292" s="99" t="s">
        <v>340</v>
      </c>
      <c r="E292" s="73">
        <f>F292</f>
        <v>28054</v>
      </c>
      <c r="F292" s="73">
        <v>28054</v>
      </c>
      <c r="G292" s="73"/>
      <c r="H292" s="73"/>
      <c r="I292" s="73"/>
      <c r="J292" s="73"/>
      <c r="K292" s="73"/>
      <c r="L292" s="73"/>
      <c r="M292" s="73"/>
      <c r="N292" s="73"/>
      <c r="O292" s="73"/>
      <c r="P292" s="252">
        <f t="shared" si="46"/>
        <v>28054</v>
      </c>
    </row>
    <row r="293" spans="1:16" s="40" customFormat="1" ht="99.75" customHeight="1">
      <c r="A293" s="253"/>
      <c r="B293" s="41"/>
      <c r="C293" s="41"/>
      <c r="D293" s="44" t="s">
        <v>332</v>
      </c>
      <c r="E293" s="43">
        <f>F293+I293</f>
        <v>300000</v>
      </c>
      <c r="F293" s="43"/>
      <c r="G293" s="43"/>
      <c r="H293" s="43"/>
      <c r="I293" s="43">
        <v>300000</v>
      </c>
      <c r="J293" s="43"/>
      <c r="K293" s="43"/>
      <c r="L293" s="43"/>
      <c r="M293" s="43"/>
      <c r="N293" s="43"/>
      <c r="O293" s="43"/>
      <c r="P293" s="252">
        <f t="shared" si="46"/>
        <v>300000</v>
      </c>
    </row>
    <row r="294" spans="1:16" s="40" customFormat="1" ht="117" customHeight="1">
      <c r="A294" s="253"/>
      <c r="B294" s="41"/>
      <c r="C294" s="41"/>
      <c r="D294" s="44" t="s">
        <v>34</v>
      </c>
      <c r="E294" s="43">
        <f>F294</f>
        <v>150000</v>
      </c>
      <c r="F294" s="43">
        <v>150000</v>
      </c>
      <c r="G294" s="43"/>
      <c r="H294" s="43"/>
      <c r="I294" s="43"/>
      <c r="J294" s="43"/>
      <c r="K294" s="43"/>
      <c r="L294" s="43"/>
      <c r="M294" s="43"/>
      <c r="N294" s="43"/>
      <c r="O294" s="43"/>
      <c r="P294" s="252">
        <f t="shared" si="46"/>
        <v>150000</v>
      </c>
    </row>
    <row r="295" spans="1:16" s="40" customFormat="1" ht="78.75" customHeight="1">
      <c r="A295" s="253"/>
      <c r="B295" s="41"/>
      <c r="C295" s="41"/>
      <c r="D295" s="44" t="s">
        <v>323</v>
      </c>
      <c r="E295" s="43">
        <f>F295+I295</f>
        <v>168000</v>
      </c>
      <c r="F295" s="43"/>
      <c r="G295" s="43"/>
      <c r="H295" s="43"/>
      <c r="I295" s="43">
        <v>168000</v>
      </c>
      <c r="J295" s="43"/>
      <c r="K295" s="43"/>
      <c r="L295" s="43"/>
      <c r="M295" s="43"/>
      <c r="N295" s="43"/>
      <c r="O295" s="43"/>
      <c r="P295" s="252">
        <f t="shared" si="46"/>
        <v>168000</v>
      </c>
    </row>
    <row r="296" spans="1:16" s="40" customFormat="1" ht="75">
      <c r="A296" s="253"/>
      <c r="B296" s="41"/>
      <c r="C296" s="41"/>
      <c r="D296" s="44" t="s">
        <v>45</v>
      </c>
      <c r="E296" s="43">
        <f>F296</f>
        <v>99352</v>
      </c>
      <c r="F296" s="43">
        <v>99352</v>
      </c>
      <c r="G296" s="43"/>
      <c r="H296" s="43"/>
      <c r="I296" s="43"/>
      <c r="J296" s="43"/>
      <c r="K296" s="43"/>
      <c r="L296" s="43"/>
      <c r="M296" s="43"/>
      <c r="N296" s="43"/>
      <c r="O296" s="43"/>
      <c r="P296" s="252">
        <f t="shared" si="46"/>
        <v>99352</v>
      </c>
    </row>
    <row r="297" spans="1:16" s="50" customFormat="1" ht="75">
      <c r="A297" s="251" t="s">
        <v>10</v>
      </c>
      <c r="B297" s="36" t="s">
        <v>11</v>
      </c>
      <c r="C297" s="36" t="s">
        <v>395</v>
      </c>
      <c r="D297" s="37" t="s">
        <v>12</v>
      </c>
      <c r="E297" s="38">
        <f>E299+E300+E301+E302+E303+E304</f>
        <v>1004115</v>
      </c>
      <c r="F297" s="38">
        <f>F299+F300+F301+F302+F303+F304</f>
        <v>826045</v>
      </c>
      <c r="G297" s="38"/>
      <c r="H297" s="38"/>
      <c r="I297" s="38">
        <f>I299+I300+I301+I302+I303+I304</f>
        <v>178070</v>
      </c>
      <c r="J297" s="38"/>
      <c r="K297" s="38"/>
      <c r="L297" s="38"/>
      <c r="M297" s="38"/>
      <c r="N297" s="38"/>
      <c r="O297" s="38"/>
      <c r="P297" s="252">
        <f t="shared" si="46"/>
        <v>1004115</v>
      </c>
    </row>
    <row r="298" spans="1:16" s="40" customFormat="1" ht="18.75">
      <c r="A298" s="253"/>
      <c r="B298" s="41"/>
      <c r="C298" s="41"/>
      <c r="D298" s="44" t="s">
        <v>13</v>
      </c>
      <c r="E298" s="43"/>
      <c r="F298" s="43"/>
      <c r="G298" s="43"/>
      <c r="H298" s="43"/>
      <c r="I298" s="43"/>
      <c r="J298" s="43"/>
      <c r="K298" s="43"/>
      <c r="L298" s="43"/>
      <c r="M298" s="43"/>
      <c r="N298" s="43"/>
      <c r="O298" s="43"/>
      <c r="P298" s="252"/>
    </row>
    <row r="299" spans="1:16" s="40" customFormat="1" ht="56.25">
      <c r="A299" s="253"/>
      <c r="B299" s="41"/>
      <c r="C299" s="41"/>
      <c r="D299" s="44" t="s">
        <v>14</v>
      </c>
      <c r="E299" s="43">
        <f>F299+I299</f>
        <v>200000</v>
      </c>
      <c r="F299" s="43">
        <f>199810+9690-50000</f>
        <v>159500</v>
      </c>
      <c r="G299" s="43"/>
      <c r="H299" s="43"/>
      <c r="I299" s="43">
        <f>22800+17700</f>
        <v>40500</v>
      </c>
      <c r="J299" s="43"/>
      <c r="K299" s="43"/>
      <c r="L299" s="43"/>
      <c r="M299" s="43"/>
      <c r="N299" s="43"/>
      <c r="O299" s="43"/>
      <c r="P299" s="252">
        <f t="shared" si="46"/>
        <v>200000</v>
      </c>
    </row>
    <row r="300" spans="1:16" s="40" customFormat="1" ht="56.25">
      <c r="A300" s="253"/>
      <c r="B300" s="41"/>
      <c r="C300" s="41"/>
      <c r="D300" s="42" t="s">
        <v>15</v>
      </c>
      <c r="E300" s="43">
        <f>F300+I300</f>
        <v>398980</v>
      </c>
      <c r="F300" s="43">
        <f>150000+198980</f>
        <v>348980</v>
      </c>
      <c r="G300" s="43"/>
      <c r="H300" s="43"/>
      <c r="I300" s="43">
        <v>50000</v>
      </c>
      <c r="J300" s="43"/>
      <c r="K300" s="43"/>
      <c r="L300" s="43"/>
      <c r="M300" s="43"/>
      <c r="N300" s="43"/>
      <c r="O300" s="43"/>
      <c r="P300" s="252">
        <f t="shared" si="46"/>
        <v>398980</v>
      </c>
    </row>
    <row r="301" spans="1:16" s="40" customFormat="1" ht="93.75">
      <c r="A301" s="253"/>
      <c r="B301" s="41"/>
      <c r="C301" s="41"/>
      <c r="D301" s="42" t="s">
        <v>33</v>
      </c>
      <c r="E301" s="43">
        <f>F301</f>
        <v>150000</v>
      </c>
      <c r="F301" s="43">
        <v>150000</v>
      </c>
      <c r="G301" s="43"/>
      <c r="H301" s="43"/>
      <c r="I301" s="43"/>
      <c r="J301" s="43"/>
      <c r="K301" s="43"/>
      <c r="L301" s="43"/>
      <c r="M301" s="43"/>
      <c r="N301" s="43"/>
      <c r="O301" s="43"/>
      <c r="P301" s="252">
        <f t="shared" si="46"/>
        <v>150000</v>
      </c>
    </row>
    <row r="302" spans="1:16" s="40" customFormat="1" ht="60" customHeight="1">
      <c r="A302" s="253"/>
      <c r="B302" s="41"/>
      <c r="C302" s="41"/>
      <c r="D302" s="42" t="s">
        <v>16</v>
      </c>
      <c r="E302" s="43">
        <f>F302+I302</f>
        <v>100000</v>
      </c>
      <c r="F302" s="43">
        <f>14600+10000+55400</f>
        <v>80000</v>
      </c>
      <c r="G302" s="43"/>
      <c r="H302" s="43"/>
      <c r="I302" s="43">
        <f>20000</f>
        <v>20000</v>
      </c>
      <c r="J302" s="43"/>
      <c r="K302" s="43"/>
      <c r="L302" s="43"/>
      <c r="M302" s="43"/>
      <c r="N302" s="43"/>
      <c r="O302" s="43"/>
      <c r="P302" s="252">
        <f t="shared" si="46"/>
        <v>100000</v>
      </c>
    </row>
    <row r="303" spans="1:16" s="40" customFormat="1" ht="75">
      <c r="A303" s="253"/>
      <c r="B303" s="41"/>
      <c r="C303" s="41"/>
      <c r="D303" s="55" t="s">
        <v>17</v>
      </c>
      <c r="E303" s="43">
        <f>F303+I303</f>
        <v>95135</v>
      </c>
      <c r="F303" s="43">
        <v>63565</v>
      </c>
      <c r="G303" s="43"/>
      <c r="H303" s="43"/>
      <c r="I303" s="43">
        <v>31570</v>
      </c>
      <c r="J303" s="43"/>
      <c r="K303" s="43"/>
      <c r="L303" s="43"/>
      <c r="M303" s="43"/>
      <c r="N303" s="43"/>
      <c r="O303" s="43"/>
      <c r="P303" s="252">
        <f t="shared" si="46"/>
        <v>95135</v>
      </c>
    </row>
    <row r="304" spans="1:16" s="40" customFormat="1" ht="63.75" customHeight="1" thickBot="1">
      <c r="A304" s="253"/>
      <c r="B304" s="41"/>
      <c r="C304" s="41"/>
      <c r="D304" s="42" t="s">
        <v>32</v>
      </c>
      <c r="E304" s="43">
        <f>F304+I304</f>
        <v>60000</v>
      </c>
      <c r="F304" s="43">
        <v>24000</v>
      </c>
      <c r="G304" s="43"/>
      <c r="H304" s="43"/>
      <c r="I304" s="43">
        <v>36000</v>
      </c>
      <c r="J304" s="43"/>
      <c r="K304" s="43"/>
      <c r="L304" s="43"/>
      <c r="M304" s="43"/>
      <c r="N304" s="43"/>
      <c r="O304" s="43"/>
      <c r="P304" s="252">
        <f t="shared" si="46"/>
        <v>60000</v>
      </c>
    </row>
    <row r="305" spans="1:19" s="40" customFormat="1" ht="18.75" customHeight="1" thickBot="1">
      <c r="A305" s="100" t="s">
        <v>895</v>
      </c>
      <c r="B305" s="101" t="s">
        <v>895</v>
      </c>
      <c r="C305" s="101" t="s">
        <v>895</v>
      </c>
      <c r="D305" s="102" t="s">
        <v>896</v>
      </c>
      <c r="E305" s="103">
        <f>E11+E75+E107+E208+E222+E239+E244+E250+E257+E270+E273</f>
        <v>561110633</v>
      </c>
      <c r="F305" s="103">
        <f aca="true" t="shared" si="51" ref="F305:P305">F11+F75+F107+F208+F222+F239+F244+F250+F257+F270+F273</f>
        <v>557409563</v>
      </c>
      <c r="G305" s="103">
        <f t="shared" si="51"/>
        <v>228850265</v>
      </c>
      <c r="H305" s="103">
        <f t="shared" si="51"/>
        <v>34984000</v>
      </c>
      <c r="I305" s="103">
        <f t="shared" si="51"/>
        <v>3501070</v>
      </c>
      <c r="J305" s="103">
        <f t="shared" si="51"/>
        <v>54564525</v>
      </c>
      <c r="K305" s="103">
        <f t="shared" si="51"/>
        <v>43424650</v>
      </c>
      <c r="L305" s="103">
        <f t="shared" si="51"/>
        <v>10859875</v>
      </c>
      <c r="M305" s="103">
        <f t="shared" si="51"/>
        <v>1705877</v>
      </c>
      <c r="N305" s="103">
        <f t="shared" si="51"/>
        <v>48627</v>
      </c>
      <c r="O305" s="103">
        <f t="shared" si="51"/>
        <v>43704650</v>
      </c>
      <c r="P305" s="267">
        <f t="shared" si="51"/>
        <v>615675158</v>
      </c>
      <c r="Q305" s="39"/>
      <c r="S305" s="39"/>
    </row>
    <row r="306" spans="1:19" s="40" customFormat="1" ht="18.75">
      <c r="A306" s="268"/>
      <c r="B306" s="268"/>
      <c r="C306" s="268"/>
      <c r="D306" s="265"/>
      <c r="E306" s="269"/>
      <c r="F306" s="269"/>
      <c r="G306" s="269"/>
      <c r="H306" s="269"/>
      <c r="I306" s="269"/>
      <c r="J306" s="269"/>
      <c r="K306" s="269"/>
      <c r="L306" s="269"/>
      <c r="M306" s="269"/>
      <c r="N306" s="269"/>
      <c r="O306" s="269"/>
      <c r="P306" s="269"/>
      <c r="Q306" s="39"/>
      <c r="S306" s="39"/>
    </row>
    <row r="307" spans="1:19" s="40" customFormat="1" ht="18.75">
      <c r="A307" s="268"/>
      <c r="B307" s="268"/>
      <c r="C307" s="268"/>
      <c r="D307" s="265"/>
      <c r="E307" s="269"/>
      <c r="F307" s="269"/>
      <c r="G307" s="269"/>
      <c r="H307" s="269"/>
      <c r="I307" s="269"/>
      <c r="J307" s="269"/>
      <c r="K307" s="269"/>
      <c r="L307" s="269"/>
      <c r="M307" s="269"/>
      <c r="N307" s="269"/>
      <c r="O307" s="269"/>
      <c r="P307" s="269"/>
      <c r="Q307" s="39"/>
      <c r="S307" s="39"/>
    </row>
    <row r="308" spans="1:19" s="40" customFormat="1" ht="18.75">
      <c r="A308" s="268"/>
      <c r="B308" s="268"/>
      <c r="C308" s="268"/>
      <c r="D308" s="265"/>
      <c r="E308" s="269"/>
      <c r="F308" s="269"/>
      <c r="G308" s="269"/>
      <c r="H308" s="269"/>
      <c r="I308" s="269"/>
      <c r="J308" s="269"/>
      <c r="K308" s="269"/>
      <c r="L308" s="269"/>
      <c r="M308" s="269"/>
      <c r="N308" s="269"/>
      <c r="O308" s="269"/>
      <c r="P308" s="269"/>
      <c r="Q308" s="39"/>
      <c r="S308" s="39"/>
    </row>
    <row r="309" spans="1:19" s="40" customFormat="1" ht="18.75">
      <c r="A309" s="268"/>
      <c r="B309" s="268"/>
      <c r="C309" s="268"/>
      <c r="D309" s="265"/>
      <c r="E309" s="269"/>
      <c r="F309" s="269"/>
      <c r="G309" s="269"/>
      <c r="H309" s="269"/>
      <c r="I309" s="269"/>
      <c r="J309" s="269"/>
      <c r="K309" s="269"/>
      <c r="L309" s="269"/>
      <c r="M309" s="269"/>
      <c r="N309" s="269"/>
      <c r="O309" s="269"/>
      <c r="P309" s="269"/>
      <c r="Q309" s="39"/>
      <c r="S309" s="39"/>
    </row>
    <row r="310" spans="5:16" ht="12.75">
      <c r="E310" s="105"/>
      <c r="F310" s="105"/>
      <c r="G310" s="105"/>
      <c r="H310" s="105"/>
      <c r="I310" s="105"/>
      <c r="J310" s="105"/>
      <c r="K310" s="105"/>
      <c r="L310" s="105"/>
      <c r="M310" s="105"/>
      <c r="N310" s="105"/>
      <c r="O310" s="105"/>
      <c r="P310" s="105"/>
    </row>
    <row r="311" spans="5:16" ht="12.75">
      <c r="E311" s="105"/>
      <c r="F311" s="105"/>
      <c r="G311" s="105"/>
      <c r="H311" s="105"/>
      <c r="I311" s="105"/>
      <c r="J311" s="106"/>
      <c r="K311" s="106"/>
      <c r="L311" s="105"/>
      <c r="M311" s="105"/>
      <c r="N311" s="105"/>
      <c r="O311" s="105"/>
      <c r="P311" s="105"/>
    </row>
    <row r="312" spans="1:17" s="109" customFormat="1" ht="18.75">
      <c r="A312" s="107"/>
      <c r="B312" s="31" t="s">
        <v>370</v>
      </c>
      <c r="C312" s="31"/>
      <c r="D312" s="33"/>
      <c r="E312" s="108"/>
      <c r="F312" s="108"/>
      <c r="G312" s="108"/>
      <c r="H312" s="108"/>
      <c r="I312" s="108"/>
      <c r="J312" s="108"/>
      <c r="K312" s="108"/>
      <c r="L312" s="108"/>
      <c r="N312" s="108"/>
      <c r="O312" s="110" t="s">
        <v>897</v>
      </c>
      <c r="P312" s="108"/>
      <c r="Q312" s="111"/>
    </row>
    <row r="313" spans="5:16" ht="18.75">
      <c r="E313" s="112"/>
      <c r="F313" s="112"/>
      <c r="G313" s="112"/>
      <c r="H313" s="112"/>
      <c r="I313" s="112"/>
      <c r="J313" s="112"/>
      <c r="K313" s="112"/>
      <c r="L313" s="112"/>
      <c r="M313" s="112"/>
      <c r="N313" s="112"/>
      <c r="O313" s="112"/>
      <c r="P313" s="112"/>
    </row>
    <row r="314" spans="5:11" ht="18.75">
      <c r="E314" s="113"/>
      <c r="F314" s="114"/>
      <c r="K314" s="29"/>
    </row>
    <row r="315" spans="5:16" ht="18.75">
      <c r="E315" s="112"/>
      <c r="F315" s="112"/>
      <c r="G315" s="112"/>
      <c r="H315" s="112"/>
      <c r="I315" s="112"/>
      <c r="J315" s="112"/>
      <c r="K315" s="112"/>
      <c r="L315" s="112"/>
      <c r="M315" s="112"/>
      <c r="N315" s="112"/>
      <c r="O315" s="112"/>
      <c r="P315" s="112"/>
    </row>
    <row r="316" spans="5:13" ht="18.75">
      <c r="E316" s="113"/>
      <c r="M316" s="29"/>
    </row>
    <row r="317" spans="5:16" ht="12.75">
      <c r="E317" s="114"/>
      <c r="F317" s="114"/>
      <c r="P317" s="29"/>
    </row>
    <row r="318" ht="18.75">
      <c r="E318" s="112"/>
    </row>
    <row r="320" ht="18.75">
      <c r="E320" s="113"/>
    </row>
    <row r="322" ht="12.75">
      <c r="E322" s="114"/>
    </row>
  </sheetData>
  <sheetProtection/>
  <mergeCells count="22">
    <mergeCell ref="E6:E9"/>
    <mergeCell ref="G6:H6"/>
    <mergeCell ref="J6:J9"/>
    <mergeCell ref="K6:K9"/>
    <mergeCell ref="M7:M9"/>
    <mergeCell ref="F6:F9"/>
    <mergeCell ref="G7:G9"/>
    <mergeCell ref="H7:H9"/>
    <mergeCell ref="E5:I5"/>
    <mergeCell ref="J5:O5"/>
    <mergeCell ref="O1:P1"/>
    <mergeCell ref="B3:P3"/>
    <mergeCell ref="P5:P9"/>
    <mergeCell ref="L6:L9"/>
    <mergeCell ref="M6:N6"/>
    <mergeCell ref="O6:O9"/>
    <mergeCell ref="I6:I9"/>
    <mergeCell ref="N7:N9"/>
    <mergeCell ref="A5:A9"/>
    <mergeCell ref="B5:B9"/>
    <mergeCell ref="C5:C9"/>
    <mergeCell ref="D5:D9"/>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Q28"/>
  <sheetViews>
    <sheetView zoomScalePageLayoutView="0" workbookViewId="0" topLeftCell="H1">
      <selection activeCell="L5" sqref="L5"/>
    </sheetView>
  </sheetViews>
  <sheetFormatPr defaultColWidth="9.16015625" defaultRowHeight="12.75"/>
  <cols>
    <col min="1" max="1" width="18.16015625" style="223" customWidth="1"/>
    <col min="2" max="2" width="31.33203125" style="223" customWidth="1"/>
    <col min="3" max="3" width="18.5" style="223" customWidth="1"/>
    <col min="4" max="4" width="31" style="222" customWidth="1"/>
    <col min="5" max="5" width="21.5" style="222" customWidth="1"/>
    <col min="6" max="6" width="34" style="222" customWidth="1"/>
    <col min="7" max="7" width="25.83203125" style="222" customWidth="1"/>
    <col min="8" max="8" width="17.66015625" style="222" customWidth="1"/>
    <col min="9" max="9" width="19" style="222" customWidth="1"/>
    <col min="10" max="10" width="20.33203125" style="222" customWidth="1"/>
    <col min="11" max="11" width="17.16015625" style="222" customWidth="1"/>
    <col min="12" max="12" width="20.66015625" style="222" customWidth="1"/>
    <col min="13" max="13" width="19.5" style="222" customWidth="1"/>
    <col min="14" max="14" width="28" style="222" customWidth="1"/>
    <col min="15" max="16" width="19.5" style="222" customWidth="1"/>
    <col min="17" max="17" width="24.83203125" style="222" customWidth="1"/>
    <col min="18" max="18" width="22.66015625" style="222" customWidth="1"/>
    <col min="19" max="19" width="18.33203125" style="222" customWidth="1"/>
    <col min="20" max="20" width="21.66015625" style="222" customWidth="1"/>
    <col min="21" max="21" width="30.5" style="222" customWidth="1"/>
    <col min="22" max="22" width="14.83203125" style="222" customWidth="1"/>
    <col min="23" max="23" width="20.83203125" style="222" customWidth="1"/>
    <col min="24" max="24" width="15.16015625" style="222" customWidth="1"/>
    <col min="25" max="25" width="18.33203125" style="222" customWidth="1"/>
    <col min="26" max="26" width="18.66015625" style="222" customWidth="1"/>
    <col min="27" max="27" width="24.83203125" style="222" customWidth="1"/>
    <col min="28" max="28" width="25.16015625" style="222" customWidth="1"/>
    <col min="29" max="29" width="23.33203125" style="222" customWidth="1"/>
    <col min="30" max="30" width="21.83203125" style="222" customWidth="1"/>
    <col min="31" max="31" width="14.5" style="223" customWidth="1"/>
    <col min="32" max="32" width="15.16015625" style="223" customWidth="1"/>
    <col min="33" max="33" width="20.16015625" style="223" customWidth="1"/>
    <col min="34" max="34" width="16.83203125" style="223" customWidth="1"/>
    <col min="35" max="35" width="19.5" style="223" customWidth="1"/>
    <col min="36" max="36" width="23.16015625" style="223" customWidth="1"/>
    <col min="37" max="37" width="21" style="223" customWidth="1"/>
    <col min="38" max="38" width="15" style="223" customWidth="1"/>
    <col min="39" max="39" width="19.33203125" style="223" customWidth="1"/>
    <col min="40" max="40" width="26.16015625" style="223" customWidth="1"/>
    <col min="41" max="41" width="37.33203125" style="223" customWidth="1"/>
    <col min="42" max="42" width="17.16015625" style="223" customWidth="1"/>
    <col min="43" max="43" width="20.16015625" style="223" customWidth="1"/>
    <col min="44" max="16384" width="9.16015625" style="223" customWidth="1"/>
  </cols>
  <sheetData>
    <row r="1" spans="1:36" ht="15" customHeight="1">
      <c r="A1" s="4"/>
      <c r="B1" s="4"/>
      <c r="C1" s="4"/>
      <c r="D1" s="221"/>
      <c r="E1" s="221"/>
      <c r="F1" s="221"/>
      <c r="G1" s="221"/>
      <c r="H1" s="221"/>
      <c r="I1" s="221"/>
      <c r="J1" s="221"/>
      <c r="K1" s="221"/>
      <c r="L1" s="5" t="s">
        <v>238</v>
      </c>
      <c r="M1" s="4"/>
      <c r="N1" s="221"/>
      <c r="O1" s="221"/>
      <c r="P1" s="221"/>
      <c r="S1" s="221"/>
      <c r="T1" s="221"/>
      <c r="U1" s="221"/>
      <c r="AI1" s="1"/>
      <c r="AJ1" s="1"/>
    </row>
    <row r="2" spans="1:36" ht="15.75">
      <c r="A2" s="4"/>
      <c r="B2" s="4"/>
      <c r="C2" s="4"/>
      <c r="D2" s="221"/>
      <c r="E2" s="221"/>
      <c r="F2" s="221"/>
      <c r="G2" s="221"/>
      <c r="H2" s="221"/>
      <c r="I2" s="221"/>
      <c r="J2" s="221"/>
      <c r="K2" s="221"/>
      <c r="L2" s="4" t="s">
        <v>349</v>
      </c>
      <c r="M2" s="4"/>
      <c r="N2" s="221"/>
      <c r="O2" s="221"/>
      <c r="P2" s="221"/>
      <c r="S2" s="221"/>
      <c r="T2" s="221"/>
      <c r="U2" s="221"/>
      <c r="AI2" s="8"/>
      <c r="AJ2" s="8"/>
    </row>
    <row r="3" spans="1:36" ht="15.75">
      <c r="A3" s="4"/>
      <c r="B3" s="4"/>
      <c r="C3" s="4"/>
      <c r="D3" s="221"/>
      <c r="E3" s="221"/>
      <c r="F3" s="221"/>
      <c r="G3" s="221"/>
      <c r="H3" s="221"/>
      <c r="I3" s="221"/>
      <c r="J3" s="221"/>
      <c r="K3" s="221"/>
      <c r="L3" s="4" t="s">
        <v>354</v>
      </c>
      <c r="M3" s="4"/>
      <c r="N3" s="221"/>
      <c r="O3" s="221"/>
      <c r="P3" s="221"/>
      <c r="S3" s="221"/>
      <c r="T3" s="221"/>
      <c r="U3" s="221"/>
      <c r="AI3" s="8"/>
      <c r="AJ3" s="8"/>
    </row>
    <row r="4" spans="1:36" ht="15.75">
      <c r="A4" s="4"/>
      <c r="B4" s="4"/>
      <c r="C4" s="4"/>
      <c r="D4" s="221"/>
      <c r="E4" s="221"/>
      <c r="F4" s="221"/>
      <c r="G4" s="221"/>
      <c r="H4" s="221"/>
      <c r="I4" s="221"/>
      <c r="J4" s="221"/>
      <c r="K4" s="221"/>
      <c r="L4" s="4" t="s">
        <v>351</v>
      </c>
      <c r="M4" s="4"/>
      <c r="N4" s="221"/>
      <c r="O4" s="221"/>
      <c r="P4" s="221"/>
      <c r="S4" s="221"/>
      <c r="T4" s="221"/>
      <c r="U4" s="221"/>
      <c r="AI4" s="8"/>
      <c r="AJ4" s="8"/>
    </row>
    <row r="5" spans="1:36" ht="15.75">
      <c r="A5" s="4"/>
      <c r="B5" s="4"/>
      <c r="C5" s="4"/>
      <c r="D5" s="221"/>
      <c r="E5" s="221"/>
      <c r="F5" s="221"/>
      <c r="G5" s="221"/>
      <c r="H5" s="221"/>
      <c r="I5" s="221"/>
      <c r="J5" s="221"/>
      <c r="K5" s="221"/>
      <c r="L5" s="221"/>
      <c r="M5" s="221"/>
      <c r="N5" s="221"/>
      <c r="O5" s="221"/>
      <c r="P5" s="221"/>
      <c r="Q5" s="8"/>
      <c r="R5" s="223"/>
      <c r="S5" s="221"/>
      <c r="T5" s="221"/>
      <c r="U5" s="221"/>
      <c r="AI5" s="8"/>
      <c r="AJ5" s="8"/>
    </row>
    <row r="6" spans="1:38" ht="18" customHeight="1">
      <c r="A6" s="493" t="s">
        <v>55</v>
      </c>
      <c r="B6" s="494"/>
      <c r="C6" s="494"/>
      <c r="D6" s="494"/>
      <c r="E6" s="494"/>
      <c r="F6" s="494"/>
      <c r="G6" s="494"/>
      <c r="H6" s="494"/>
      <c r="I6" s="494"/>
      <c r="J6" s="494"/>
      <c r="K6" s="494"/>
      <c r="L6" s="494"/>
      <c r="M6" s="494"/>
      <c r="N6" s="428"/>
      <c r="O6" s="428"/>
      <c r="P6" s="428"/>
      <c r="Q6" s="428"/>
      <c r="R6" s="428"/>
      <c r="S6" s="241"/>
      <c r="T6" s="241"/>
      <c r="U6" s="241"/>
      <c r="V6" s="241"/>
      <c r="W6" s="241"/>
      <c r="X6" s="241"/>
      <c r="Y6" s="241"/>
      <c r="Z6" s="224"/>
      <c r="AA6" s="224"/>
      <c r="AB6" s="224"/>
      <c r="AC6" s="224"/>
      <c r="AD6" s="224"/>
      <c r="AE6" s="225"/>
      <c r="AF6" s="225"/>
      <c r="AG6" s="225"/>
      <c r="AH6" s="225"/>
      <c r="AI6" s="225"/>
      <c r="AJ6" s="225"/>
      <c r="AK6" s="225"/>
      <c r="AL6" s="225"/>
    </row>
    <row r="7" spans="1:38" ht="18" customHeight="1" thickBot="1">
      <c r="A7" s="226"/>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L7" s="228" t="s">
        <v>359</v>
      </c>
    </row>
    <row r="8" spans="1:38" s="4" customFormat="1" ht="21.75" customHeight="1">
      <c r="A8" s="452" t="s">
        <v>56</v>
      </c>
      <c r="B8" s="456" t="s">
        <v>57</v>
      </c>
      <c r="C8" s="506" t="s">
        <v>58</v>
      </c>
      <c r="D8" s="507"/>
      <c r="E8" s="507"/>
      <c r="F8" s="507"/>
      <c r="G8" s="507"/>
      <c r="H8" s="507"/>
      <c r="I8" s="507"/>
      <c r="J8" s="507"/>
      <c r="K8" s="507"/>
      <c r="L8" s="507"/>
      <c r="M8" s="507"/>
      <c r="N8" s="507"/>
      <c r="O8" s="507"/>
      <c r="P8" s="507"/>
      <c r="Q8" s="507"/>
      <c r="R8" s="508"/>
      <c r="S8" s="502" t="s">
        <v>58</v>
      </c>
      <c r="T8" s="509"/>
      <c r="U8" s="509"/>
      <c r="V8" s="509"/>
      <c r="W8" s="509"/>
      <c r="X8" s="509"/>
      <c r="Y8" s="509"/>
      <c r="Z8" s="501" t="s">
        <v>59</v>
      </c>
      <c r="AA8" s="501"/>
      <c r="AB8" s="501"/>
      <c r="AC8" s="501"/>
      <c r="AD8" s="501"/>
      <c r="AE8" s="502"/>
      <c r="AF8" s="502"/>
      <c r="AG8" s="502"/>
      <c r="AH8" s="502"/>
      <c r="AI8" s="502"/>
      <c r="AJ8" s="502"/>
      <c r="AK8" s="502"/>
      <c r="AL8" s="503"/>
    </row>
    <row r="9" spans="1:38" s="4" customFormat="1" ht="15.75" customHeight="1">
      <c r="A9" s="453"/>
      <c r="B9" s="457"/>
      <c r="C9" s="439" t="s">
        <v>60</v>
      </c>
      <c r="D9" s="460" t="s">
        <v>61</v>
      </c>
      <c r="E9" s="445"/>
      <c r="F9" s="445"/>
      <c r="G9" s="445"/>
      <c r="H9" s="445"/>
      <c r="I9" s="445"/>
      <c r="J9" s="445"/>
      <c r="K9" s="445"/>
      <c r="L9" s="445"/>
      <c r="M9" s="445"/>
      <c r="N9" s="445"/>
      <c r="O9" s="445"/>
      <c r="P9" s="445"/>
      <c r="Q9" s="445"/>
      <c r="R9" s="438"/>
      <c r="S9" s="460" t="s">
        <v>61</v>
      </c>
      <c r="T9" s="461"/>
      <c r="U9" s="461"/>
      <c r="V9" s="461"/>
      <c r="W9" s="461"/>
      <c r="X9" s="462"/>
      <c r="Y9" s="466" t="s">
        <v>42</v>
      </c>
      <c r="Z9" s="445" t="s">
        <v>61</v>
      </c>
      <c r="AA9" s="445"/>
      <c r="AB9" s="445"/>
      <c r="AC9" s="445"/>
      <c r="AD9" s="445"/>
      <c r="AE9" s="445"/>
      <c r="AF9" s="445"/>
      <c r="AG9" s="445"/>
      <c r="AH9" s="445"/>
      <c r="AI9" s="445"/>
      <c r="AJ9" s="445"/>
      <c r="AK9" s="438"/>
      <c r="AL9" s="504" t="s">
        <v>42</v>
      </c>
    </row>
    <row r="10" spans="1:38" s="4" customFormat="1" ht="18" customHeight="1">
      <c r="A10" s="453"/>
      <c r="B10" s="457"/>
      <c r="C10" s="459"/>
      <c r="D10" s="460" t="s">
        <v>62</v>
      </c>
      <c r="E10" s="461"/>
      <c r="F10" s="461"/>
      <c r="G10" s="461"/>
      <c r="H10" s="461"/>
      <c r="I10" s="461"/>
      <c r="J10" s="461"/>
      <c r="K10" s="461"/>
      <c r="L10" s="461"/>
      <c r="M10" s="461"/>
      <c r="N10" s="461"/>
      <c r="O10" s="461"/>
      <c r="P10" s="461"/>
      <c r="Q10" s="461"/>
      <c r="R10" s="462"/>
      <c r="S10" s="460" t="s">
        <v>62</v>
      </c>
      <c r="T10" s="461"/>
      <c r="U10" s="461"/>
      <c r="V10" s="461"/>
      <c r="W10" s="461"/>
      <c r="X10" s="462"/>
      <c r="Y10" s="492"/>
      <c r="Z10" s="445" t="s">
        <v>63</v>
      </c>
      <c r="AA10" s="445"/>
      <c r="AB10" s="445"/>
      <c r="AC10" s="445"/>
      <c r="AD10" s="445"/>
      <c r="AE10" s="446"/>
      <c r="AF10" s="446"/>
      <c r="AG10" s="446"/>
      <c r="AH10" s="446"/>
      <c r="AI10" s="446"/>
      <c r="AJ10" s="446"/>
      <c r="AK10" s="447"/>
      <c r="AL10" s="505"/>
    </row>
    <row r="11" spans="1:38" ht="16.5" customHeight="1">
      <c r="A11" s="454"/>
      <c r="B11" s="458"/>
      <c r="C11" s="318"/>
      <c r="D11" s="441" t="s">
        <v>64</v>
      </c>
      <c r="E11" s="463" t="s">
        <v>65</v>
      </c>
      <c r="F11" s="441" t="s">
        <v>66</v>
      </c>
      <c r="G11" s="441" t="s">
        <v>67</v>
      </c>
      <c r="H11" s="440" t="s">
        <v>68</v>
      </c>
      <c r="I11" s="434"/>
      <c r="J11" s="430" t="s">
        <v>69</v>
      </c>
      <c r="K11" s="444" t="s">
        <v>94</v>
      </c>
      <c r="L11" s="466"/>
      <c r="M11" s="466"/>
      <c r="N11" s="466" t="s">
        <v>249</v>
      </c>
      <c r="O11" s="466"/>
      <c r="P11" s="499" t="s">
        <v>319</v>
      </c>
      <c r="Q11" s="430" t="s">
        <v>70</v>
      </c>
      <c r="R11" s="463" t="s">
        <v>71</v>
      </c>
      <c r="S11" s="495" t="s">
        <v>888</v>
      </c>
      <c r="T11" s="496"/>
      <c r="U11" s="496"/>
      <c r="V11" s="496"/>
      <c r="W11" s="446"/>
      <c r="X11" s="447"/>
      <c r="Y11" s="492"/>
      <c r="Z11" s="490" t="s">
        <v>12</v>
      </c>
      <c r="AA11" s="466" t="s">
        <v>98</v>
      </c>
      <c r="AB11" s="466"/>
      <c r="AC11" s="450" t="s">
        <v>333</v>
      </c>
      <c r="AD11" s="450" t="s">
        <v>334</v>
      </c>
      <c r="AE11" s="437" t="s">
        <v>888</v>
      </c>
      <c r="AF11" s="445"/>
      <c r="AG11" s="445"/>
      <c r="AH11" s="445"/>
      <c r="AI11" s="445"/>
      <c r="AJ11" s="445"/>
      <c r="AK11" s="438"/>
      <c r="AL11" s="505"/>
    </row>
    <row r="12" spans="1:38" ht="376.5" customHeight="1">
      <c r="A12" s="454"/>
      <c r="B12" s="458"/>
      <c r="C12" s="464" t="s">
        <v>72</v>
      </c>
      <c r="D12" s="591"/>
      <c r="E12" s="442"/>
      <c r="F12" s="442"/>
      <c r="G12" s="442"/>
      <c r="H12" s="435"/>
      <c r="I12" s="436"/>
      <c r="J12" s="464"/>
      <c r="K12" s="466"/>
      <c r="L12" s="466"/>
      <c r="M12" s="466"/>
      <c r="N12" s="466"/>
      <c r="O12" s="466"/>
      <c r="P12" s="500"/>
      <c r="Q12" s="431"/>
      <c r="R12" s="497"/>
      <c r="S12" s="448" t="s">
        <v>73</v>
      </c>
      <c r="T12" s="466"/>
      <c r="U12" s="466"/>
      <c r="V12" s="466"/>
      <c r="W12" s="448" t="s">
        <v>74</v>
      </c>
      <c r="X12" s="450" t="s">
        <v>889</v>
      </c>
      <c r="Y12" s="492"/>
      <c r="Z12" s="491"/>
      <c r="AA12" s="466"/>
      <c r="AB12" s="466"/>
      <c r="AC12" s="465"/>
      <c r="AD12" s="464"/>
      <c r="AE12" s="466" t="s">
        <v>889</v>
      </c>
      <c r="AF12" s="466" t="s">
        <v>891</v>
      </c>
      <c r="AG12" s="450" t="s">
        <v>340</v>
      </c>
      <c r="AH12" s="448" t="s">
        <v>73</v>
      </c>
      <c r="AI12" s="448" t="s">
        <v>75</v>
      </c>
      <c r="AJ12" s="510" t="s">
        <v>324</v>
      </c>
      <c r="AK12" s="448" t="s">
        <v>76</v>
      </c>
      <c r="AL12" s="505"/>
    </row>
    <row r="13" spans="1:38" ht="42.75" customHeight="1">
      <c r="A13" s="454"/>
      <c r="B13" s="458"/>
      <c r="C13" s="464"/>
      <c r="D13" s="591"/>
      <c r="E13" s="442"/>
      <c r="F13" s="442"/>
      <c r="G13" s="442"/>
      <c r="H13" s="460" t="s">
        <v>247</v>
      </c>
      <c r="I13" s="438"/>
      <c r="J13" s="464"/>
      <c r="K13" s="466"/>
      <c r="L13" s="466"/>
      <c r="M13" s="466"/>
      <c r="N13" s="450" t="s">
        <v>321</v>
      </c>
      <c r="O13" s="450" t="s">
        <v>250</v>
      </c>
      <c r="P13" s="500"/>
      <c r="Q13" s="431"/>
      <c r="R13" s="497"/>
      <c r="S13" s="444" t="s">
        <v>380</v>
      </c>
      <c r="T13" s="466"/>
      <c r="U13" s="466"/>
      <c r="V13" s="466"/>
      <c r="W13" s="466"/>
      <c r="X13" s="464"/>
      <c r="Y13" s="492"/>
      <c r="Z13" s="491"/>
      <c r="AA13" s="466" t="s">
        <v>13</v>
      </c>
      <c r="AB13" s="466"/>
      <c r="AC13" s="320" t="s">
        <v>13</v>
      </c>
      <c r="AD13" s="464"/>
      <c r="AE13" s="466"/>
      <c r="AF13" s="466"/>
      <c r="AG13" s="464"/>
      <c r="AH13" s="449"/>
      <c r="AI13" s="449"/>
      <c r="AJ13" s="497"/>
      <c r="AK13" s="449"/>
      <c r="AL13" s="505"/>
    </row>
    <row r="14" spans="1:38" ht="171.75" customHeight="1">
      <c r="A14" s="454"/>
      <c r="B14" s="458"/>
      <c r="C14" s="464"/>
      <c r="D14" s="591"/>
      <c r="E14" s="442"/>
      <c r="F14" s="442"/>
      <c r="G14" s="442"/>
      <c r="H14" s="429" t="s">
        <v>246</v>
      </c>
      <c r="I14" s="433"/>
      <c r="J14" s="464"/>
      <c r="K14" s="450" t="s">
        <v>95</v>
      </c>
      <c r="L14" s="450" t="s">
        <v>96</v>
      </c>
      <c r="M14" s="450" t="s">
        <v>97</v>
      </c>
      <c r="N14" s="465"/>
      <c r="O14" s="429"/>
      <c r="P14" s="466" t="s">
        <v>320</v>
      </c>
      <c r="Q14" s="450" t="s">
        <v>253</v>
      </c>
      <c r="R14" s="497"/>
      <c r="S14" s="444" t="s">
        <v>329</v>
      </c>
      <c r="T14" s="466" t="s">
        <v>330</v>
      </c>
      <c r="U14" s="466" t="s">
        <v>331</v>
      </c>
      <c r="V14" s="466" t="s">
        <v>77</v>
      </c>
      <c r="W14" s="466"/>
      <c r="X14" s="464"/>
      <c r="Y14" s="492"/>
      <c r="Z14" s="491"/>
      <c r="AA14" s="466" t="s">
        <v>99</v>
      </c>
      <c r="AB14" s="466" t="s">
        <v>100</v>
      </c>
      <c r="AC14" s="450" t="s">
        <v>347</v>
      </c>
      <c r="AD14" s="464"/>
      <c r="AE14" s="466"/>
      <c r="AF14" s="466"/>
      <c r="AG14" s="464"/>
      <c r="AH14" s="449"/>
      <c r="AI14" s="449"/>
      <c r="AJ14" s="497"/>
      <c r="AK14" s="449"/>
      <c r="AL14" s="505"/>
    </row>
    <row r="15" spans="1:38" ht="57" customHeight="1">
      <c r="A15" s="455"/>
      <c r="B15" s="459"/>
      <c r="C15" s="465"/>
      <c r="D15" s="592"/>
      <c r="E15" s="443"/>
      <c r="F15" s="443"/>
      <c r="G15" s="443"/>
      <c r="H15" s="320" t="s">
        <v>378</v>
      </c>
      <c r="I15" s="319" t="s">
        <v>380</v>
      </c>
      <c r="J15" s="465"/>
      <c r="K15" s="465"/>
      <c r="L15" s="465"/>
      <c r="M15" s="465"/>
      <c r="N15" s="319" t="s">
        <v>380</v>
      </c>
      <c r="O15" s="390" t="s">
        <v>378</v>
      </c>
      <c r="P15" s="466"/>
      <c r="Q15" s="432"/>
      <c r="R15" s="498"/>
      <c r="S15" s="466"/>
      <c r="T15" s="466"/>
      <c r="U15" s="466"/>
      <c r="V15" s="466"/>
      <c r="W15" s="466"/>
      <c r="X15" s="465"/>
      <c r="Y15" s="492"/>
      <c r="Z15" s="433"/>
      <c r="AA15" s="466"/>
      <c r="AB15" s="466"/>
      <c r="AC15" s="465"/>
      <c r="AD15" s="465"/>
      <c r="AE15" s="466"/>
      <c r="AF15" s="466"/>
      <c r="AG15" s="465"/>
      <c r="AH15" s="319" t="s">
        <v>380</v>
      </c>
      <c r="AI15" s="449"/>
      <c r="AJ15" s="498"/>
      <c r="AK15" s="449"/>
      <c r="AL15" s="505"/>
    </row>
    <row r="16" spans="1:38" ht="15.75">
      <c r="A16" s="415">
        <v>1</v>
      </c>
      <c r="B16" s="409">
        <v>2</v>
      </c>
      <c r="C16" s="416">
        <v>3</v>
      </c>
      <c r="D16" s="417" t="s">
        <v>78</v>
      </c>
      <c r="E16" s="417" t="s">
        <v>79</v>
      </c>
      <c r="F16" s="417" t="s">
        <v>80</v>
      </c>
      <c r="G16" s="417" t="s">
        <v>81</v>
      </c>
      <c r="H16" s="417" t="s">
        <v>82</v>
      </c>
      <c r="I16" s="418" t="s">
        <v>83</v>
      </c>
      <c r="J16" s="418" t="s">
        <v>84</v>
      </c>
      <c r="K16" s="417" t="s">
        <v>85</v>
      </c>
      <c r="L16" s="417" t="s">
        <v>86</v>
      </c>
      <c r="M16" s="417" t="s">
        <v>87</v>
      </c>
      <c r="N16" s="417" t="s">
        <v>88</v>
      </c>
      <c r="O16" s="417" t="s">
        <v>248</v>
      </c>
      <c r="P16" s="417" t="s">
        <v>251</v>
      </c>
      <c r="Q16" s="417" t="s">
        <v>252</v>
      </c>
      <c r="R16" s="416">
        <v>18</v>
      </c>
      <c r="S16" s="416">
        <v>19</v>
      </c>
      <c r="T16" s="416">
        <v>20</v>
      </c>
      <c r="U16" s="416">
        <v>21</v>
      </c>
      <c r="V16" s="416">
        <v>22</v>
      </c>
      <c r="W16" s="416">
        <v>23</v>
      </c>
      <c r="X16" s="419">
        <v>24</v>
      </c>
      <c r="Y16" s="416">
        <v>25</v>
      </c>
      <c r="Z16" s="416">
        <v>26</v>
      </c>
      <c r="AA16" s="416">
        <v>27</v>
      </c>
      <c r="AB16" s="416">
        <v>28</v>
      </c>
      <c r="AC16" s="416">
        <v>29</v>
      </c>
      <c r="AD16" s="416">
        <v>30</v>
      </c>
      <c r="AE16" s="416">
        <v>31</v>
      </c>
      <c r="AF16" s="416">
        <v>32</v>
      </c>
      <c r="AG16" s="416">
        <v>33</v>
      </c>
      <c r="AH16" s="416">
        <v>34</v>
      </c>
      <c r="AI16" s="416">
        <v>35</v>
      </c>
      <c r="AJ16" s="421">
        <v>36</v>
      </c>
      <c r="AK16" s="421">
        <v>37</v>
      </c>
      <c r="AL16" s="420">
        <v>38</v>
      </c>
    </row>
    <row r="17" spans="1:38" ht="26.25" customHeight="1">
      <c r="A17" s="321"/>
      <c r="B17" s="322" t="s">
        <v>89</v>
      </c>
      <c r="C17" s="229"/>
      <c r="D17" s="230"/>
      <c r="E17" s="230"/>
      <c r="F17" s="230"/>
      <c r="G17" s="230"/>
      <c r="H17" s="230"/>
      <c r="I17" s="230"/>
      <c r="J17" s="231"/>
      <c r="K17" s="231"/>
      <c r="L17" s="231"/>
      <c r="M17" s="230"/>
      <c r="N17" s="231"/>
      <c r="O17" s="231"/>
      <c r="P17" s="231"/>
      <c r="Q17" s="230"/>
      <c r="R17" s="230"/>
      <c r="S17" s="230"/>
      <c r="T17" s="230"/>
      <c r="U17" s="230"/>
      <c r="V17" s="230"/>
      <c r="W17" s="229"/>
      <c r="X17" s="229"/>
      <c r="Y17" s="229"/>
      <c r="Z17" s="242">
        <f>805135+198980</f>
        <v>1004115</v>
      </c>
      <c r="AA17" s="242"/>
      <c r="AB17" s="242"/>
      <c r="AC17" s="242"/>
      <c r="AD17" s="242"/>
      <c r="AE17" s="229"/>
      <c r="AF17" s="229"/>
      <c r="AG17" s="229"/>
      <c r="AH17" s="229"/>
      <c r="AI17" s="229"/>
      <c r="AJ17" s="229"/>
      <c r="AK17" s="229"/>
      <c r="AL17" s="427">
        <f>Z17</f>
        <v>1004115</v>
      </c>
    </row>
    <row r="18" spans="1:40" ht="25.5" customHeight="1">
      <c r="A18" s="321">
        <v>21100000000</v>
      </c>
      <c r="B18" s="322" t="s">
        <v>90</v>
      </c>
      <c r="C18" s="391">
        <v>3448400</v>
      </c>
      <c r="D18" s="392">
        <f>63379700-34972461</f>
        <v>28407239</v>
      </c>
      <c r="E18" s="391">
        <v>1407100</v>
      </c>
      <c r="F18" s="392">
        <v>105770800</v>
      </c>
      <c r="G18" s="392">
        <f>518700+50000</f>
        <v>568700</v>
      </c>
      <c r="H18" s="392">
        <v>133133</v>
      </c>
      <c r="I18" s="392">
        <v>78000</v>
      </c>
      <c r="J18" s="393">
        <v>761066</v>
      </c>
      <c r="K18" s="392">
        <v>306922</v>
      </c>
      <c r="L18" s="392">
        <v>83748</v>
      </c>
      <c r="M18" s="392">
        <v>800000</v>
      </c>
      <c r="N18" s="392">
        <f>1271984+968</f>
        <v>1272952</v>
      </c>
      <c r="O18" s="392">
        <v>28440</v>
      </c>
      <c r="P18" s="392">
        <v>790594</v>
      </c>
      <c r="Q18" s="392">
        <v>98700</v>
      </c>
      <c r="R18" s="392">
        <v>459900</v>
      </c>
      <c r="S18" s="392">
        <v>300000</v>
      </c>
      <c r="T18" s="392">
        <v>400000</v>
      </c>
      <c r="U18" s="392">
        <v>500000</v>
      </c>
      <c r="V18" s="392">
        <f>SUM(S18:U18)</f>
        <v>1200000</v>
      </c>
      <c r="W18" s="392">
        <v>132668</v>
      </c>
      <c r="X18" s="392"/>
      <c r="Y18" s="392">
        <f>C18+D18+E18+F18+G18+I18+J18+Q18+R18+S18+W18+T18+U18+M18+L18+K18+O18+N18+H18+P18</f>
        <v>145748362</v>
      </c>
      <c r="Z18" s="394"/>
      <c r="AA18" s="394">
        <v>400068</v>
      </c>
      <c r="AB18" s="394">
        <v>2000000</v>
      </c>
      <c r="AC18" s="394">
        <v>550000</v>
      </c>
      <c r="AD18" s="394"/>
      <c r="AE18" s="391"/>
      <c r="AF18" s="391"/>
      <c r="AG18" s="391"/>
      <c r="AH18" s="391"/>
      <c r="AI18" s="391">
        <v>150000</v>
      </c>
      <c r="AJ18" s="391">
        <v>168000</v>
      </c>
      <c r="AK18" s="391"/>
      <c r="AL18" s="395">
        <f>AI18+AA18+AB18+AJ18+AC18</f>
        <v>3268068</v>
      </c>
      <c r="AM18" s="4"/>
      <c r="AN18" s="4"/>
    </row>
    <row r="19" spans="1:38" ht="41.25" customHeight="1">
      <c r="A19" s="321">
        <v>21203501000</v>
      </c>
      <c r="B19" s="322" t="s">
        <v>91</v>
      </c>
      <c r="C19" s="232"/>
      <c r="D19" s="234"/>
      <c r="E19" s="234"/>
      <c r="F19" s="234"/>
      <c r="G19" s="234"/>
      <c r="H19" s="234"/>
      <c r="I19" s="234"/>
      <c r="J19" s="234"/>
      <c r="K19" s="234"/>
      <c r="L19" s="234"/>
      <c r="M19" s="234"/>
      <c r="N19" s="234"/>
      <c r="O19" s="234"/>
      <c r="P19" s="234"/>
      <c r="Q19" s="234"/>
      <c r="R19" s="234"/>
      <c r="S19" s="234"/>
      <c r="T19" s="234"/>
      <c r="U19" s="234"/>
      <c r="V19" s="234"/>
      <c r="W19" s="234"/>
      <c r="X19" s="392">
        <v>245000</v>
      </c>
      <c r="Y19" s="392">
        <f>X19</f>
        <v>245000</v>
      </c>
      <c r="Z19" s="394"/>
      <c r="AA19" s="394"/>
      <c r="AB19" s="394"/>
      <c r="AC19" s="394"/>
      <c r="AD19" s="394"/>
      <c r="AE19" s="391">
        <f>3811900+245000</f>
        <v>4056900</v>
      </c>
      <c r="AF19" s="391">
        <v>620074</v>
      </c>
      <c r="AG19" s="391">
        <v>28054</v>
      </c>
      <c r="AH19" s="391">
        <v>300000</v>
      </c>
      <c r="AI19" s="391"/>
      <c r="AJ19" s="391"/>
      <c r="AK19" s="391"/>
      <c r="AL19" s="395">
        <f>SUM(AE19:AK19)</f>
        <v>5005028</v>
      </c>
    </row>
    <row r="20" spans="1:38" ht="36.75" customHeight="1">
      <c r="A20" s="323">
        <v>21203701700</v>
      </c>
      <c r="B20" s="324" t="s">
        <v>92</v>
      </c>
      <c r="C20" s="232"/>
      <c r="D20" s="234"/>
      <c r="E20" s="234"/>
      <c r="F20" s="234"/>
      <c r="G20" s="234"/>
      <c r="H20" s="234"/>
      <c r="I20" s="234"/>
      <c r="J20" s="234"/>
      <c r="K20" s="234"/>
      <c r="L20" s="234"/>
      <c r="M20" s="234"/>
      <c r="N20" s="234"/>
      <c r="O20" s="234"/>
      <c r="P20" s="234"/>
      <c r="Q20" s="234"/>
      <c r="R20" s="234"/>
      <c r="S20" s="234"/>
      <c r="T20" s="234"/>
      <c r="U20" s="234"/>
      <c r="V20" s="234"/>
      <c r="W20" s="234"/>
      <c r="X20" s="234"/>
      <c r="Y20" s="234"/>
      <c r="Z20" s="243"/>
      <c r="AA20" s="243"/>
      <c r="AB20" s="243"/>
      <c r="AC20" s="243"/>
      <c r="AD20" s="243">
        <v>305000</v>
      </c>
      <c r="AE20" s="235"/>
      <c r="AF20" s="235"/>
      <c r="AG20" s="235"/>
      <c r="AH20" s="235"/>
      <c r="AI20" s="235"/>
      <c r="AJ20" s="235"/>
      <c r="AK20" s="391">
        <v>99352</v>
      </c>
      <c r="AL20" s="395">
        <f>AK20+AD20</f>
        <v>404352</v>
      </c>
    </row>
    <row r="21" spans="1:38" ht="27" customHeight="1" thickBot="1">
      <c r="A21" s="270" t="s">
        <v>357</v>
      </c>
      <c r="B21" s="271" t="s">
        <v>896</v>
      </c>
      <c r="C21" s="396">
        <f>SUM(C18:C19)</f>
        <v>3448400</v>
      </c>
      <c r="D21" s="396">
        <f>D18+D19</f>
        <v>28407239</v>
      </c>
      <c r="E21" s="396">
        <f>E18+E19</f>
        <v>1407100</v>
      </c>
      <c r="F21" s="396">
        <f>F18+F19</f>
        <v>105770800</v>
      </c>
      <c r="G21" s="396">
        <f>G18+G19</f>
        <v>568700</v>
      </c>
      <c r="H21" s="396">
        <f>H18+H19</f>
        <v>133133</v>
      </c>
      <c r="I21" s="396">
        <f aca="true" t="shared" si="0" ref="I21:W21">I18+I19</f>
        <v>78000</v>
      </c>
      <c r="J21" s="396">
        <f t="shared" si="0"/>
        <v>761066</v>
      </c>
      <c r="K21" s="396">
        <f t="shared" si="0"/>
        <v>306922</v>
      </c>
      <c r="L21" s="396">
        <f t="shared" si="0"/>
        <v>83748</v>
      </c>
      <c r="M21" s="396">
        <f t="shared" si="0"/>
        <v>800000</v>
      </c>
      <c r="N21" s="396">
        <f t="shared" si="0"/>
        <v>1272952</v>
      </c>
      <c r="O21" s="396">
        <f t="shared" si="0"/>
        <v>28440</v>
      </c>
      <c r="P21" s="396">
        <f t="shared" si="0"/>
        <v>790594</v>
      </c>
      <c r="Q21" s="396">
        <f t="shared" si="0"/>
        <v>98700</v>
      </c>
      <c r="R21" s="396">
        <f t="shared" si="0"/>
        <v>459900</v>
      </c>
      <c r="S21" s="396">
        <f t="shared" si="0"/>
        <v>300000</v>
      </c>
      <c r="T21" s="396">
        <f t="shared" si="0"/>
        <v>400000</v>
      </c>
      <c r="U21" s="396">
        <f t="shared" si="0"/>
        <v>500000</v>
      </c>
      <c r="V21" s="396">
        <f t="shared" si="0"/>
        <v>1200000</v>
      </c>
      <c r="W21" s="396">
        <f t="shared" si="0"/>
        <v>132668</v>
      </c>
      <c r="X21" s="396">
        <f>X19</f>
        <v>245000</v>
      </c>
      <c r="Y21" s="397">
        <f>Y18+Y19</f>
        <v>145993362</v>
      </c>
      <c r="Z21" s="398">
        <f>Z17</f>
        <v>1004115</v>
      </c>
      <c r="AA21" s="397">
        <f>AA18</f>
        <v>400068</v>
      </c>
      <c r="AB21" s="397">
        <f>AB18</f>
        <v>2000000</v>
      </c>
      <c r="AC21" s="397">
        <f>AC18</f>
        <v>550000</v>
      </c>
      <c r="AD21" s="397">
        <f>AD17+AD18+AD19+AD20</f>
        <v>305000</v>
      </c>
      <c r="AE21" s="396">
        <f>SUM(AE18:AE19)</f>
        <v>4056900</v>
      </c>
      <c r="AF21" s="396">
        <f>SUM(AF18:AF19)</f>
        <v>620074</v>
      </c>
      <c r="AG21" s="396">
        <f>SUM(AG18:AG19)</f>
        <v>28054</v>
      </c>
      <c r="AH21" s="396">
        <f>SUM(AH18:AH19)</f>
        <v>300000</v>
      </c>
      <c r="AI21" s="396">
        <f>AI18+AI19+AI20</f>
        <v>150000</v>
      </c>
      <c r="AJ21" s="396">
        <f>AJ18+AJ19+AJ20</f>
        <v>168000</v>
      </c>
      <c r="AK21" s="396">
        <f>AK20</f>
        <v>99352</v>
      </c>
      <c r="AL21" s="399">
        <f>Z21+AE21+AF21+AH21+AI21+AK21+AA21+AB21+AJ21+AG21+AD21+AC21</f>
        <v>9681563</v>
      </c>
    </row>
    <row r="22" spans="1:38" ht="18.75">
      <c r="A22" s="236"/>
      <c r="B22" s="237"/>
      <c r="C22" s="424"/>
      <c r="D22" s="424"/>
      <c r="E22" s="424"/>
      <c r="F22" s="424"/>
      <c r="G22" s="424"/>
      <c r="H22" s="424"/>
      <c r="I22" s="424"/>
      <c r="J22" s="424"/>
      <c r="K22" s="424"/>
      <c r="L22" s="424"/>
      <c r="M22" s="424"/>
      <c r="N22" s="424"/>
      <c r="O22" s="424"/>
      <c r="P22" s="424"/>
      <c r="Q22" s="424"/>
      <c r="R22" s="424"/>
      <c r="S22" s="424"/>
      <c r="T22" s="424"/>
      <c r="U22" s="424"/>
      <c r="V22" s="424"/>
      <c r="W22" s="424"/>
      <c r="X22" s="424"/>
      <c r="Y22" s="425"/>
      <c r="Z22" s="425"/>
      <c r="AA22" s="425"/>
      <c r="AB22" s="425"/>
      <c r="AC22" s="425"/>
      <c r="AD22" s="425"/>
      <c r="AE22" s="424"/>
      <c r="AF22" s="424"/>
      <c r="AG22" s="424"/>
      <c r="AH22" s="424"/>
      <c r="AI22" s="424"/>
      <c r="AJ22" s="424"/>
      <c r="AK22" s="424"/>
      <c r="AL22" s="424"/>
    </row>
    <row r="23" spans="1:38" ht="18.75">
      <c r="A23" s="236"/>
      <c r="B23" s="237"/>
      <c r="C23" s="424"/>
      <c r="D23" s="424"/>
      <c r="E23" s="424"/>
      <c r="F23" s="424"/>
      <c r="G23" s="424"/>
      <c r="H23" s="424"/>
      <c r="I23" s="424"/>
      <c r="J23" s="424"/>
      <c r="K23" s="424"/>
      <c r="L23" s="424"/>
      <c r="M23" s="424"/>
      <c r="N23" s="424"/>
      <c r="O23" s="424"/>
      <c r="P23" s="424"/>
      <c r="Q23" s="424"/>
      <c r="R23" s="424"/>
      <c r="S23" s="424"/>
      <c r="T23" s="424"/>
      <c r="U23" s="424"/>
      <c r="V23" s="424"/>
      <c r="W23" s="424"/>
      <c r="X23" s="424"/>
      <c r="Y23" s="425"/>
      <c r="Z23" s="425"/>
      <c r="AA23" s="425"/>
      <c r="AB23" s="425"/>
      <c r="AC23" s="425"/>
      <c r="AD23" s="425"/>
      <c r="AE23" s="424"/>
      <c r="AF23" s="424"/>
      <c r="AG23" s="424"/>
      <c r="AH23" s="424"/>
      <c r="AI23" s="424"/>
      <c r="AJ23" s="424"/>
      <c r="AK23" s="424"/>
      <c r="AL23" s="424"/>
    </row>
    <row r="24" spans="1:38" ht="15.75">
      <c r="A24" s="236"/>
      <c r="B24" s="237"/>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row>
    <row r="25" spans="1:43" s="239" customFormat="1" ht="18.75">
      <c r="A25" s="223"/>
      <c r="B25" s="223"/>
      <c r="C25" s="223"/>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40" t="s">
        <v>41</v>
      </c>
      <c r="AC25" s="222"/>
      <c r="AD25" s="222"/>
      <c r="AE25" s="223"/>
      <c r="AF25" s="223"/>
      <c r="AG25" s="223"/>
      <c r="AH25" s="223"/>
      <c r="AI25" s="223"/>
      <c r="AJ25" s="240" t="s">
        <v>93</v>
      </c>
      <c r="AK25" s="223"/>
      <c r="AL25" s="223"/>
      <c r="AM25" s="223"/>
      <c r="AN25" s="223"/>
      <c r="AO25" s="223"/>
      <c r="AP25" s="223"/>
      <c r="AQ25" s="223"/>
    </row>
    <row r="28" ht="18.75">
      <c r="AA28" s="240"/>
    </row>
    <row r="49" ht="44.25" customHeight="1"/>
    <row r="62" ht="45.75" customHeight="1"/>
  </sheetData>
  <sheetProtection/>
  <mergeCells count="61">
    <mergeCell ref="Z8:AL8"/>
    <mergeCell ref="AL9:AL15"/>
    <mergeCell ref="C8:R8"/>
    <mergeCell ref="S8:Y8"/>
    <mergeCell ref="Z9:AK9"/>
    <mergeCell ref="AJ12:AJ15"/>
    <mergeCell ref="AE12:AE15"/>
    <mergeCell ref="N11:O12"/>
    <mergeCell ref="M14:M15"/>
    <mergeCell ref="P11:P13"/>
    <mergeCell ref="P14:P15"/>
    <mergeCell ref="D10:R10"/>
    <mergeCell ref="A6:M6"/>
    <mergeCell ref="J11:J15"/>
    <mergeCell ref="S11:X11"/>
    <mergeCell ref="X12:X15"/>
    <mergeCell ref="R11:R15"/>
    <mergeCell ref="S12:V12"/>
    <mergeCell ref="W12:W15"/>
    <mergeCell ref="U14:U15"/>
    <mergeCell ref="AK12:AK15"/>
    <mergeCell ref="S13:V13"/>
    <mergeCell ref="Y9:Y15"/>
    <mergeCell ref="AI12:AI15"/>
    <mergeCell ref="AB14:AB15"/>
    <mergeCell ref="AF12:AF15"/>
    <mergeCell ref="AD11:AD15"/>
    <mergeCell ref="O13:O14"/>
    <mergeCell ref="Q11:Q13"/>
    <mergeCell ref="Q14:Q15"/>
    <mergeCell ref="L14:L15"/>
    <mergeCell ref="C9:C10"/>
    <mergeCell ref="H11:I12"/>
    <mergeCell ref="H13:I13"/>
    <mergeCell ref="N13:N14"/>
    <mergeCell ref="H14:I14"/>
    <mergeCell ref="C12:C15"/>
    <mergeCell ref="E11:E15"/>
    <mergeCell ref="F11:F15"/>
    <mergeCell ref="K14:K15"/>
    <mergeCell ref="D9:R9"/>
    <mergeCell ref="Z10:AK10"/>
    <mergeCell ref="AH12:AH14"/>
    <mergeCell ref="AA13:AB13"/>
    <mergeCell ref="AA14:AA15"/>
    <mergeCell ref="AC14:AC15"/>
    <mergeCell ref="AG12:AG15"/>
    <mergeCell ref="AE11:AK11"/>
    <mergeCell ref="AC11:AC12"/>
    <mergeCell ref="Z11:Z15"/>
    <mergeCell ref="AA11:AB12"/>
    <mergeCell ref="A8:A15"/>
    <mergeCell ref="B8:B15"/>
    <mergeCell ref="S10:X10"/>
    <mergeCell ref="D11:D15"/>
    <mergeCell ref="V14:V15"/>
    <mergeCell ref="S9:X9"/>
    <mergeCell ref="G11:G15"/>
    <mergeCell ref="K11:M13"/>
    <mergeCell ref="S14:S15"/>
    <mergeCell ref="T14:T15"/>
  </mergeCells>
  <printOptions/>
  <pageMargins left="0.5118110236220472" right="0.31496062992125984" top="0.35433070866141736" bottom="0.35433070866141736" header="0.31496062992125984" footer="0.31496062992125984"/>
  <pageSetup fitToHeight="6"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IU55"/>
  <sheetViews>
    <sheetView zoomScalePageLayoutView="0" workbookViewId="0" topLeftCell="F1">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7.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78" t="s">
        <v>355</v>
      </c>
      <c r="J1" s="478"/>
    </row>
    <row r="2" spans="9:10" ht="30.75" customHeight="1">
      <c r="I2" s="408"/>
      <c r="J2" s="408"/>
    </row>
    <row r="3" spans="9:10" ht="22.5" customHeight="1">
      <c r="I3" s="408"/>
      <c r="J3" s="408"/>
    </row>
    <row r="4" spans="8:9" ht="15">
      <c r="H4" s="317"/>
      <c r="I4" s="331"/>
    </row>
    <row r="5" spans="2:10" ht="20.25" customHeight="1">
      <c r="B5" s="517" t="s">
        <v>270</v>
      </c>
      <c r="C5" s="517"/>
      <c r="D5" s="517"/>
      <c r="E5" s="517"/>
      <c r="F5" s="517"/>
      <c r="G5" s="517"/>
      <c r="H5" s="517"/>
      <c r="I5" s="517"/>
      <c r="J5" s="517"/>
    </row>
    <row r="6" spans="2:10" ht="18.75">
      <c r="B6" s="332"/>
      <c r="C6" s="332"/>
      <c r="D6" s="332"/>
      <c r="E6" s="332"/>
      <c r="F6" s="332"/>
      <c r="G6" s="333"/>
      <c r="H6" s="333"/>
      <c r="I6" s="334"/>
      <c r="J6" s="333"/>
    </row>
    <row r="7" spans="2:10" ht="12.75" customHeight="1">
      <c r="B7" s="518" t="s">
        <v>373</v>
      </c>
      <c r="C7" s="520" t="s">
        <v>374</v>
      </c>
      <c r="D7" s="520" t="s">
        <v>375</v>
      </c>
      <c r="E7" s="528" t="s">
        <v>376</v>
      </c>
      <c r="F7" s="528" t="s">
        <v>271</v>
      </c>
      <c r="G7" s="524" t="s">
        <v>272</v>
      </c>
      <c r="H7" s="524" t="s">
        <v>273</v>
      </c>
      <c r="I7" s="524" t="s">
        <v>274</v>
      </c>
      <c r="J7" s="524" t="s">
        <v>275</v>
      </c>
    </row>
    <row r="8" spans="1:10" ht="81.75" customHeight="1">
      <c r="A8" s="274"/>
      <c r="B8" s="519"/>
      <c r="C8" s="520"/>
      <c r="D8" s="520"/>
      <c r="E8" s="530"/>
      <c r="F8" s="529"/>
      <c r="G8" s="525"/>
      <c r="H8" s="525"/>
      <c r="I8" s="525"/>
      <c r="J8" s="525"/>
    </row>
    <row r="9" spans="1:10" ht="12.75">
      <c r="A9" s="274"/>
      <c r="B9" s="371">
        <v>1</v>
      </c>
      <c r="C9" s="370">
        <v>2</v>
      </c>
      <c r="D9" s="370">
        <v>3</v>
      </c>
      <c r="E9" s="372">
        <v>4</v>
      </c>
      <c r="F9" s="335">
        <v>5</v>
      </c>
      <c r="G9" s="336">
        <v>6</v>
      </c>
      <c r="H9" s="336">
        <v>7</v>
      </c>
      <c r="I9" s="336">
        <v>8</v>
      </c>
      <c r="J9" s="336">
        <v>9</v>
      </c>
    </row>
    <row r="10" spans="1:10" ht="39" customHeight="1">
      <c r="A10" s="274"/>
      <c r="B10" s="337" t="s">
        <v>384</v>
      </c>
      <c r="C10" s="233"/>
      <c r="D10" s="233"/>
      <c r="E10" s="338" t="s">
        <v>385</v>
      </c>
      <c r="F10" s="233"/>
      <c r="G10" s="339"/>
      <c r="H10" s="340"/>
      <c r="I10" s="341">
        <f>I11</f>
        <v>6893967</v>
      </c>
      <c r="J10" s="341"/>
    </row>
    <row r="11" spans="1:10" ht="39.75" customHeight="1">
      <c r="A11" s="274"/>
      <c r="B11" s="337" t="s">
        <v>386</v>
      </c>
      <c r="C11" s="233"/>
      <c r="D11" s="233"/>
      <c r="E11" s="338" t="s">
        <v>385</v>
      </c>
      <c r="F11" s="233"/>
      <c r="G11" s="339"/>
      <c r="H11" s="340"/>
      <c r="I11" s="342">
        <f>SUM(I12:I21)</f>
        <v>6893967</v>
      </c>
      <c r="J11" s="342"/>
    </row>
    <row r="12" spans="1:10" ht="75">
      <c r="A12" s="274"/>
      <c r="B12" s="521" t="s">
        <v>18</v>
      </c>
      <c r="C12" s="523">
        <v>7310</v>
      </c>
      <c r="D12" s="523" t="s">
        <v>480</v>
      </c>
      <c r="E12" s="526" t="s">
        <v>20</v>
      </c>
      <c r="F12" s="343" t="s">
        <v>325</v>
      </c>
      <c r="G12" s="344">
        <v>2019</v>
      </c>
      <c r="H12" s="345">
        <v>1467169</v>
      </c>
      <c r="I12" s="346">
        <f>63327+1403842</f>
        <v>1467169</v>
      </c>
      <c r="J12" s="347">
        <v>100</v>
      </c>
    </row>
    <row r="13" spans="1:10" ht="75">
      <c r="A13" s="274"/>
      <c r="B13" s="522"/>
      <c r="C13" s="522"/>
      <c r="D13" s="522"/>
      <c r="E13" s="527"/>
      <c r="F13" s="343" t="s">
        <v>297</v>
      </c>
      <c r="G13" s="344">
        <v>2019</v>
      </c>
      <c r="H13" s="345">
        <v>1586438</v>
      </c>
      <c r="I13" s="346">
        <f>143068+1443370</f>
        <v>1586438</v>
      </c>
      <c r="J13" s="347">
        <v>100</v>
      </c>
    </row>
    <row r="14" spans="1:255" s="352" customFormat="1" ht="56.25">
      <c r="A14" s="348"/>
      <c r="B14" s="41" t="s">
        <v>478</v>
      </c>
      <c r="C14" s="41" t="s">
        <v>479</v>
      </c>
      <c r="D14" s="41" t="s">
        <v>480</v>
      </c>
      <c r="E14" s="44" t="s">
        <v>481</v>
      </c>
      <c r="F14" s="343" t="s">
        <v>276</v>
      </c>
      <c r="G14" s="349">
        <v>2019</v>
      </c>
      <c r="H14" s="350">
        <v>1409273</v>
      </c>
      <c r="I14" s="345">
        <v>41709</v>
      </c>
      <c r="J14" s="351">
        <v>3</v>
      </c>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row>
    <row r="15" spans="1:255" s="352" customFormat="1" ht="25.5" customHeight="1">
      <c r="A15" s="348"/>
      <c r="B15" s="511" t="s">
        <v>482</v>
      </c>
      <c r="C15" s="511" t="s">
        <v>483</v>
      </c>
      <c r="D15" s="511" t="s">
        <v>480</v>
      </c>
      <c r="E15" s="513" t="s">
        <v>900</v>
      </c>
      <c r="F15" s="343" t="s">
        <v>277</v>
      </c>
      <c r="G15" s="349" t="s">
        <v>278</v>
      </c>
      <c r="H15" s="345">
        <v>4142055</v>
      </c>
      <c r="I15" s="350">
        <v>200000</v>
      </c>
      <c r="J15" s="353">
        <v>10.6</v>
      </c>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row>
    <row r="16" spans="1:255" s="352" customFormat="1" ht="37.5">
      <c r="A16" s="348"/>
      <c r="B16" s="512"/>
      <c r="C16" s="512"/>
      <c r="D16" s="512"/>
      <c r="E16" s="514"/>
      <c r="F16" s="343" t="s">
        <v>279</v>
      </c>
      <c r="G16" s="349" t="s">
        <v>280</v>
      </c>
      <c r="H16" s="345">
        <v>795049</v>
      </c>
      <c r="I16" s="350">
        <v>745049</v>
      </c>
      <c r="J16" s="353">
        <v>100</v>
      </c>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row>
    <row r="17" spans="1:255" s="352" customFormat="1" ht="75" customHeight="1" hidden="1">
      <c r="A17" s="348"/>
      <c r="B17" s="512"/>
      <c r="C17" s="512"/>
      <c r="D17" s="512"/>
      <c r="E17" s="514"/>
      <c r="F17" s="373" t="s">
        <v>281</v>
      </c>
      <c r="G17" s="349" t="s">
        <v>282</v>
      </c>
      <c r="H17" s="345">
        <v>6151964</v>
      </c>
      <c r="I17" s="350">
        <f>500000-500000</f>
        <v>0</v>
      </c>
      <c r="J17" s="353">
        <v>9.3</v>
      </c>
      <c r="K17" s="115"/>
      <c r="L17" s="354"/>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row>
    <row r="18" spans="1:255" s="352" customFormat="1" ht="44.25" customHeight="1">
      <c r="A18" s="348"/>
      <c r="B18" s="512"/>
      <c r="C18" s="512"/>
      <c r="D18" s="512"/>
      <c r="E18" s="514"/>
      <c r="F18" s="343" t="s">
        <v>283</v>
      </c>
      <c r="G18" s="349">
        <v>2019</v>
      </c>
      <c r="H18" s="345">
        <v>1343074</v>
      </c>
      <c r="I18" s="350">
        <v>1000000</v>
      </c>
      <c r="J18" s="353">
        <v>74.5</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row>
    <row r="19" spans="1:255" s="352" customFormat="1" ht="37.5">
      <c r="A19" s="348"/>
      <c r="B19" s="512"/>
      <c r="C19" s="512"/>
      <c r="D19" s="512"/>
      <c r="E19" s="514"/>
      <c r="F19" s="343" t="s">
        <v>284</v>
      </c>
      <c r="G19" s="349" t="s">
        <v>280</v>
      </c>
      <c r="H19" s="345">
        <v>1158499</v>
      </c>
      <c r="I19" s="350">
        <v>470000</v>
      </c>
      <c r="J19" s="353">
        <v>83.7</v>
      </c>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row>
    <row r="20" spans="1:255" s="356" customFormat="1" ht="94.5" customHeight="1">
      <c r="A20" s="355"/>
      <c r="B20" s="515" t="s">
        <v>484</v>
      </c>
      <c r="C20" s="515" t="s">
        <v>485</v>
      </c>
      <c r="D20" s="515" t="s">
        <v>486</v>
      </c>
      <c r="E20" s="513" t="s">
        <v>487</v>
      </c>
      <c r="F20" s="343" t="s">
        <v>285</v>
      </c>
      <c r="G20" s="349" t="s">
        <v>286</v>
      </c>
      <c r="H20" s="350">
        <v>20691542</v>
      </c>
      <c r="I20" s="345">
        <f>1800000-416398</f>
        <v>1383602</v>
      </c>
      <c r="J20" s="351">
        <v>13.4</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56" customFormat="1" ht="93" customHeight="1" hidden="1">
      <c r="A21" s="355"/>
      <c r="B21" s="516"/>
      <c r="C21" s="516"/>
      <c r="D21" s="516"/>
      <c r="E21" s="514"/>
      <c r="F21" s="343"/>
      <c r="G21" s="349"/>
      <c r="H21" s="350"/>
      <c r="I21" s="345">
        <f>500000-500000</f>
        <v>0</v>
      </c>
      <c r="J21" s="351"/>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56" customFormat="1" ht="42.75" customHeight="1">
      <c r="A22" s="355"/>
      <c r="B22" s="36" t="s">
        <v>532</v>
      </c>
      <c r="C22" s="41"/>
      <c r="D22" s="41"/>
      <c r="E22" s="37" t="s">
        <v>901</v>
      </c>
      <c r="F22" s="343"/>
      <c r="G22" s="349"/>
      <c r="H22" s="340"/>
      <c r="I22" s="357">
        <f>I23</f>
        <v>92295</v>
      </c>
      <c r="J22" s="351"/>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2:10" ht="36.75" customHeight="1">
      <c r="B23" s="36" t="s">
        <v>534</v>
      </c>
      <c r="C23" s="41"/>
      <c r="D23" s="41"/>
      <c r="E23" s="37" t="s">
        <v>901</v>
      </c>
      <c r="F23" s="343"/>
      <c r="G23" s="349"/>
      <c r="H23" s="340"/>
      <c r="I23" s="357">
        <f>SUM(I24:I27)</f>
        <v>92295</v>
      </c>
      <c r="J23" s="351"/>
    </row>
    <row r="24" spans="2:10" ht="21.75" customHeight="1">
      <c r="B24" s="511" t="s">
        <v>579</v>
      </c>
      <c r="C24" s="511" t="s">
        <v>580</v>
      </c>
      <c r="D24" s="511" t="s">
        <v>480</v>
      </c>
      <c r="E24" s="513" t="s">
        <v>581</v>
      </c>
      <c r="F24" s="343" t="s">
        <v>287</v>
      </c>
      <c r="G24" s="349">
        <v>2019</v>
      </c>
      <c r="H24" s="350">
        <v>37820</v>
      </c>
      <c r="I24" s="345">
        <v>37820</v>
      </c>
      <c r="J24" s="351">
        <v>100</v>
      </c>
    </row>
    <row r="25" spans="2:10" ht="23.25" customHeight="1">
      <c r="B25" s="512"/>
      <c r="C25" s="512"/>
      <c r="D25" s="512"/>
      <c r="E25" s="514"/>
      <c r="F25" s="343" t="s">
        <v>288</v>
      </c>
      <c r="G25" s="349">
        <v>2019</v>
      </c>
      <c r="H25" s="350">
        <v>51235</v>
      </c>
      <c r="I25" s="345">
        <v>51235</v>
      </c>
      <c r="J25" s="351">
        <v>100</v>
      </c>
    </row>
    <row r="26" spans="2:10" ht="65.25" customHeight="1">
      <c r="B26" s="512"/>
      <c r="C26" s="512"/>
      <c r="D26" s="512"/>
      <c r="E26" s="514"/>
      <c r="F26" s="343" t="s">
        <v>289</v>
      </c>
      <c r="G26" s="349">
        <v>2019</v>
      </c>
      <c r="H26" s="350">
        <v>3240</v>
      </c>
      <c r="I26" s="345">
        <f>720022+400000-1116782</f>
        <v>3240</v>
      </c>
      <c r="J26" s="351">
        <v>100</v>
      </c>
    </row>
    <row r="27" spans="2:10" ht="79.5" customHeight="1" hidden="1">
      <c r="B27" s="41" t="s">
        <v>24</v>
      </c>
      <c r="C27" s="41" t="s">
        <v>485</v>
      </c>
      <c r="D27" s="41" t="s">
        <v>486</v>
      </c>
      <c r="E27" s="44" t="s">
        <v>487</v>
      </c>
      <c r="F27" s="343" t="s">
        <v>290</v>
      </c>
      <c r="G27" s="349">
        <v>2019</v>
      </c>
      <c r="H27" s="350">
        <v>6093630</v>
      </c>
      <c r="I27" s="345">
        <f>597771-400000-197771</f>
        <v>0</v>
      </c>
      <c r="J27" s="351">
        <v>3.4</v>
      </c>
    </row>
    <row r="28" spans="2:10" ht="65.25" customHeight="1">
      <c r="B28" s="36" t="s">
        <v>846</v>
      </c>
      <c r="C28" s="36"/>
      <c r="D28" s="36"/>
      <c r="E28" s="96" t="s">
        <v>847</v>
      </c>
      <c r="F28" s="343"/>
      <c r="G28" s="349"/>
      <c r="H28" s="350"/>
      <c r="I28" s="357">
        <f>I29</f>
        <v>111875</v>
      </c>
      <c r="J28" s="351"/>
    </row>
    <row r="29" spans="2:10" ht="65.25" customHeight="1">
      <c r="B29" s="36" t="s">
        <v>848</v>
      </c>
      <c r="C29" s="36"/>
      <c r="D29" s="36"/>
      <c r="E29" s="96" t="s">
        <v>847</v>
      </c>
      <c r="F29" s="343"/>
      <c r="G29" s="349"/>
      <c r="H29" s="350"/>
      <c r="I29" s="357">
        <f>I30</f>
        <v>111875</v>
      </c>
      <c r="J29" s="351"/>
    </row>
    <row r="30" spans="2:10" ht="58.5" customHeight="1">
      <c r="B30" s="41" t="s">
        <v>25</v>
      </c>
      <c r="C30" s="41" t="s">
        <v>26</v>
      </c>
      <c r="D30" s="41" t="s">
        <v>480</v>
      </c>
      <c r="E30" s="44" t="s">
        <v>27</v>
      </c>
      <c r="F30" s="343" t="s">
        <v>291</v>
      </c>
      <c r="G30" s="349">
        <v>2019</v>
      </c>
      <c r="H30" s="350">
        <v>111875</v>
      </c>
      <c r="I30" s="345">
        <v>111875</v>
      </c>
      <c r="J30" s="351">
        <v>100</v>
      </c>
    </row>
    <row r="31" spans="2:10" ht="93.75">
      <c r="B31" s="36" t="s">
        <v>861</v>
      </c>
      <c r="C31" s="41"/>
      <c r="D31" s="41"/>
      <c r="E31" s="37" t="s">
        <v>862</v>
      </c>
      <c r="F31" s="343"/>
      <c r="G31" s="349"/>
      <c r="H31" s="340"/>
      <c r="I31" s="357">
        <f>I32</f>
        <v>2535561</v>
      </c>
      <c r="J31" s="351"/>
    </row>
    <row r="32" spans="2:10" ht="93.75">
      <c r="B32" s="36" t="s">
        <v>863</v>
      </c>
      <c r="C32" s="41"/>
      <c r="D32" s="41"/>
      <c r="E32" s="37" t="s">
        <v>862</v>
      </c>
      <c r="F32" s="343"/>
      <c r="G32" s="349"/>
      <c r="H32" s="340"/>
      <c r="I32" s="357">
        <f>SUM(I33:I41)</f>
        <v>2535561</v>
      </c>
      <c r="J32" s="351"/>
    </row>
    <row r="33" spans="2:10" ht="93.75">
      <c r="B33" s="41" t="s">
        <v>257</v>
      </c>
      <c r="C33" s="41" t="s">
        <v>26</v>
      </c>
      <c r="D33" s="41" t="s">
        <v>480</v>
      </c>
      <c r="E33" s="44" t="s">
        <v>27</v>
      </c>
      <c r="F33" s="343" t="s">
        <v>314</v>
      </c>
      <c r="G33" s="349">
        <v>2019</v>
      </c>
      <c r="H33" s="345">
        <v>85522</v>
      </c>
      <c r="I33" s="345">
        <v>85522</v>
      </c>
      <c r="J33" s="351">
        <v>100</v>
      </c>
    </row>
    <row r="34" spans="2:10" ht="45.75" customHeight="1">
      <c r="B34" s="511" t="s">
        <v>868</v>
      </c>
      <c r="C34" s="511" t="s">
        <v>483</v>
      </c>
      <c r="D34" s="511" t="s">
        <v>480</v>
      </c>
      <c r="E34" s="513" t="s">
        <v>900</v>
      </c>
      <c r="F34" s="343" t="s">
        <v>292</v>
      </c>
      <c r="G34" s="349">
        <v>2019</v>
      </c>
      <c r="H34" s="350">
        <v>89275</v>
      </c>
      <c r="I34" s="345">
        <v>89275</v>
      </c>
      <c r="J34" s="351">
        <v>100</v>
      </c>
    </row>
    <row r="35" spans="2:10" ht="37.5">
      <c r="B35" s="511"/>
      <c r="C35" s="511"/>
      <c r="D35" s="511"/>
      <c r="E35" s="513"/>
      <c r="F35" s="343" t="s">
        <v>313</v>
      </c>
      <c r="G35" s="349">
        <v>2019</v>
      </c>
      <c r="H35" s="350">
        <v>11704</v>
      </c>
      <c r="I35" s="345">
        <v>11704</v>
      </c>
      <c r="J35" s="351">
        <v>100</v>
      </c>
    </row>
    <row r="36" spans="2:10" ht="40.5" customHeight="1">
      <c r="B36" s="512"/>
      <c r="C36" s="512"/>
      <c r="D36" s="512"/>
      <c r="E36" s="514"/>
      <c r="F36" s="343" t="s">
        <v>293</v>
      </c>
      <c r="G36" s="349">
        <v>2019</v>
      </c>
      <c r="H36" s="350">
        <v>165640</v>
      </c>
      <c r="I36" s="345">
        <v>165640</v>
      </c>
      <c r="J36" s="351">
        <v>100</v>
      </c>
    </row>
    <row r="37" spans="2:10" ht="43.5" customHeight="1">
      <c r="B37" s="512"/>
      <c r="C37" s="512"/>
      <c r="D37" s="512"/>
      <c r="E37" s="514"/>
      <c r="F37" s="343" t="s">
        <v>294</v>
      </c>
      <c r="G37" s="349">
        <v>2019</v>
      </c>
      <c r="H37" s="350">
        <v>149654</v>
      </c>
      <c r="I37" s="345">
        <v>149654</v>
      </c>
      <c r="J37" s="351">
        <v>100</v>
      </c>
    </row>
    <row r="38" spans="2:10" ht="44.25" customHeight="1">
      <c r="B38" s="512"/>
      <c r="C38" s="512"/>
      <c r="D38" s="512"/>
      <c r="E38" s="514"/>
      <c r="F38" s="343" t="s">
        <v>295</v>
      </c>
      <c r="G38" s="349">
        <v>2019</v>
      </c>
      <c r="H38" s="350">
        <v>337272</v>
      </c>
      <c r="I38" s="345">
        <v>337272</v>
      </c>
      <c r="J38" s="351">
        <v>100</v>
      </c>
    </row>
    <row r="39" spans="2:10" ht="44.25" customHeight="1">
      <c r="B39" s="512"/>
      <c r="C39" s="512"/>
      <c r="D39" s="512"/>
      <c r="E39" s="514"/>
      <c r="F39" s="343" t="s">
        <v>296</v>
      </c>
      <c r="G39" s="349">
        <v>2019</v>
      </c>
      <c r="H39" s="350">
        <v>83134</v>
      </c>
      <c r="I39" s="345">
        <v>83134</v>
      </c>
      <c r="J39" s="351">
        <v>100</v>
      </c>
    </row>
    <row r="40" spans="2:10" ht="60" customHeight="1">
      <c r="B40" s="512"/>
      <c r="C40" s="512"/>
      <c r="D40" s="512"/>
      <c r="E40" s="514"/>
      <c r="F40" s="343" t="s">
        <v>298</v>
      </c>
      <c r="G40" s="349">
        <v>2019</v>
      </c>
      <c r="H40" s="350">
        <v>199382</v>
      </c>
      <c r="I40" s="345">
        <v>199382</v>
      </c>
      <c r="J40" s="351">
        <v>100</v>
      </c>
    </row>
    <row r="41" spans="2:10" ht="76.5" customHeight="1">
      <c r="B41" s="41" t="s">
        <v>309</v>
      </c>
      <c r="C41" s="41" t="s">
        <v>310</v>
      </c>
      <c r="D41" s="41" t="s">
        <v>486</v>
      </c>
      <c r="E41" s="44" t="s">
        <v>311</v>
      </c>
      <c r="F41" s="343" t="s">
        <v>299</v>
      </c>
      <c r="G41" s="349">
        <v>2019</v>
      </c>
      <c r="H41" s="350">
        <v>1499500</v>
      </c>
      <c r="I41" s="345">
        <f>1186100+227878</f>
        <v>1413978</v>
      </c>
      <c r="J41" s="351">
        <v>100</v>
      </c>
    </row>
    <row r="42" spans="2:10" ht="18.75">
      <c r="B42" s="358" t="s">
        <v>895</v>
      </c>
      <c r="C42" s="359" t="s">
        <v>895</v>
      </c>
      <c r="D42" s="359" t="s">
        <v>895</v>
      </c>
      <c r="E42" s="360" t="s">
        <v>896</v>
      </c>
      <c r="F42" s="367" t="s">
        <v>895</v>
      </c>
      <c r="G42" s="368" t="s">
        <v>895</v>
      </c>
      <c r="H42" s="361" t="s">
        <v>895</v>
      </c>
      <c r="I42" s="341">
        <f>I10+I22+I28+I31</f>
        <v>9633698</v>
      </c>
      <c r="J42" s="361" t="s">
        <v>895</v>
      </c>
    </row>
    <row r="43" spans="2:10" ht="18.75">
      <c r="B43" s="400"/>
      <c r="C43" s="401"/>
      <c r="D43" s="401"/>
      <c r="E43" s="402"/>
      <c r="F43" s="403"/>
      <c r="G43" s="404"/>
      <c r="H43" s="405"/>
      <c r="I43" s="406"/>
      <c r="J43" s="405"/>
    </row>
    <row r="44" spans="2:10" ht="18.75">
      <c r="B44" s="400"/>
      <c r="C44" s="401"/>
      <c r="D44" s="401"/>
      <c r="E44" s="402"/>
      <c r="F44" s="403"/>
      <c r="G44" s="404"/>
      <c r="H44" s="405"/>
      <c r="I44" s="406"/>
      <c r="J44" s="405"/>
    </row>
    <row r="45" spans="2:10" ht="15.75">
      <c r="B45" s="362"/>
      <c r="C45" s="363"/>
      <c r="D45" s="363"/>
      <c r="E45" s="364"/>
      <c r="F45" s="365"/>
      <c r="G45" s="366"/>
      <c r="H45" s="366"/>
      <c r="I45" s="366"/>
      <c r="J45" s="366"/>
    </row>
    <row r="46" spans="2:10" ht="15.75">
      <c r="B46" s="362"/>
      <c r="C46" s="363"/>
      <c r="D46" s="363"/>
      <c r="E46" s="364"/>
      <c r="F46" s="365"/>
      <c r="G46" s="366"/>
      <c r="H46" s="366"/>
      <c r="I46" s="366"/>
      <c r="J46" s="366"/>
    </row>
    <row r="47" spans="3:9" ht="18.75">
      <c r="C47" s="240" t="s">
        <v>370</v>
      </c>
      <c r="D47" s="240"/>
      <c r="E47" s="240"/>
      <c r="F47" s="240"/>
      <c r="G47" s="108"/>
      <c r="H47" s="108"/>
      <c r="I47" s="108" t="s">
        <v>126</v>
      </c>
    </row>
    <row r="55" ht="12.75">
      <c r="I55" s="7"/>
    </row>
  </sheetData>
  <sheetProtection/>
  <mergeCells count="31">
    <mergeCell ref="E24:E26"/>
    <mergeCell ref="E15:E19"/>
    <mergeCell ref="D34:D40"/>
    <mergeCell ref="I7:I8"/>
    <mergeCell ref="H7:H8"/>
    <mergeCell ref="G7:G8"/>
    <mergeCell ref="E7:E8"/>
    <mergeCell ref="E12:E13"/>
    <mergeCell ref="D12:D13"/>
    <mergeCell ref="F7:F8"/>
    <mergeCell ref="D15:D19"/>
    <mergeCell ref="C15:C19"/>
    <mergeCell ref="B12:B13"/>
    <mergeCell ref="C12:C13"/>
    <mergeCell ref="B15:B19"/>
    <mergeCell ref="I1:J1"/>
    <mergeCell ref="B5:J5"/>
    <mergeCell ref="B7:B8"/>
    <mergeCell ref="C7:C8"/>
    <mergeCell ref="D7:D8"/>
    <mergeCell ref="J7:J8"/>
    <mergeCell ref="B24:B26"/>
    <mergeCell ref="E34:E40"/>
    <mergeCell ref="D20:D21"/>
    <mergeCell ref="B20:B21"/>
    <mergeCell ref="B34:B40"/>
    <mergeCell ref="C34:C40"/>
    <mergeCell ref="C20:C21"/>
    <mergeCell ref="E20:E21"/>
    <mergeCell ref="D24:D26"/>
    <mergeCell ref="C24:C26"/>
  </mergeCells>
  <printOptions/>
  <pageMargins left="0.7086614173228347" right="0.7086614173228347" top="0.7480314960629921" bottom="0.7480314960629921" header="0.31496062992125984" footer="0.31496062992125984"/>
  <pageSetup horizontalDpi="600" verticalDpi="600" orientation="landscape" paperSize="9" scale="60" r:id="rId3"/>
  <legacyDrawing r:id="rId2"/>
</worksheet>
</file>

<file path=xl/worksheets/sheet6.xml><?xml version="1.0" encoding="utf-8"?>
<worksheet xmlns="http://schemas.openxmlformats.org/spreadsheetml/2006/main" xmlns:r="http://schemas.openxmlformats.org/officeDocument/2006/relationships">
  <dimension ref="A1:J170"/>
  <sheetViews>
    <sheetView tabSelected="1" view="pageBreakPreview" zoomScaleSheetLayoutView="100" zoomScalePageLayoutView="0" workbookViewId="0" topLeftCell="D1">
      <selection activeCell="A2" sqref="A2:J2"/>
    </sheetView>
  </sheetViews>
  <sheetFormatPr defaultColWidth="9.16015625" defaultRowHeight="12.75"/>
  <cols>
    <col min="1" max="1" width="18.16015625" style="1" customWidth="1"/>
    <col min="2" max="2" width="17.66015625" style="116" customWidth="1"/>
    <col min="3" max="3" width="20.83203125" style="116" customWidth="1"/>
    <col min="4" max="4" width="61" style="117" customWidth="1"/>
    <col min="5" max="5" width="75" style="117" customWidth="1"/>
    <col min="6" max="6" width="37.33203125" style="117" customWidth="1"/>
    <col min="7" max="7" width="16.83203125" style="1" customWidth="1"/>
    <col min="8" max="8" width="15.83203125" style="1" customWidth="1"/>
    <col min="9" max="9" width="15.16015625" style="1" customWidth="1"/>
    <col min="10" max="10" width="15" style="1" customWidth="1"/>
    <col min="11" max="16384" width="9.16015625" style="2" customWidth="1"/>
  </cols>
  <sheetData>
    <row r="1" spans="7:10" ht="61.5" customHeight="1">
      <c r="G1" s="478" t="s">
        <v>356</v>
      </c>
      <c r="H1" s="478"/>
      <c r="I1" s="9"/>
      <c r="J1" s="9"/>
    </row>
    <row r="2" spans="1:10" ht="21.75" customHeight="1">
      <c r="A2" s="563" t="s">
        <v>303</v>
      </c>
      <c r="B2" s="564"/>
      <c r="C2" s="564"/>
      <c r="D2" s="564"/>
      <c r="E2" s="564"/>
      <c r="F2" s="564"/>
      <c r="G2" s="564"/>
      <c r="H2" s="564"/>
      <c r="I2" s="564"/>
      <c r="J2" s="564"/>
    </row>
    <row r="3" spans="1:10" ht="17.25" customHeight="1">
      <c r="A3" s="118"/>
      <c r="B3" s="119"/>
      <c r="C3" s="120"/>
      <c r="D3" s="121"/>
      <c r="E3" s="121"/>
      <c r="F3" s="121"/>
      <c r="G3" s="120"/>
      <c r="H3" s="122"/>
      <c r="I3" s="122"/>
      <c r="J3" s="123" t="s">
        <v>359</v>
      </c>
    </row>
    <row r="4" spans="1:10" ht="51" customHeight="1">
      <c r="A4" s="531" t="s">
        <v>373</v>
      </c>
      <c r="B4" s="531" t="s">
        <v>374</v>
      </c>
      <c r="C4" s="531" t="s">
        <v>375</v>
      </c>
      <c r="D4" s="533" t="s">
        <v>376</v>
      </c>
      <c r="E4" s="533" t="s">
        <v>902</v>
      </c>
      <c r="F4" s="533" t="s">
        <v>903</v>
      </c>
      <c r="G4" s="531" t="s">
        <v>42</v>
      </c>
      <c r="H4" s="531" t="s">
        <v>39</v>
      </c>
      <c r="I4" s="541" t="s">
        <v>40</v>
      </c>
      <c r="J4" s="542"/>
    </row>
    <row r="5" spans="1:10" ht="74.25" customHeight="1">
      <c r="A5" s="531"/>
      <c r="B5" s="533"/>
      <c r="C5" s="532"/>
      <c r="D5" s="533"/>
      <c r="E5" s="543"/>
      <c r="F5" s="543"/>
      <c r="G5" s="532"/>
      <c r="H5" s="532"/>
      <c r="I5" s="127" t="s">
        <v>43</v>
      </c>
      <c r="J5" s="369" t="s">
        <v>44</v>
      </c>
    </row>
    <row r="6" spans="1:10" ht="16.5">
      <c r="A6" s="374">
        <v>1</v>
      </c>
      <c r="B6" s="124">
        <v>2</v>
      </c>
      <c r="C6" s="125">
        <v>3</v>
      </c>
      <c r="D6" s="124">
        <v>4</v>
      </c>
      <c r="E6" s="126">
        <v>5</v>
      </c>
      <c r="F6" s="126">
        <v>6</v>
      </c>
      <c r="G6" s="125">
        <v>7</v>
      </c>
      <c r="H6" s="125">
        <v>8</v>
      </c>
      <c r="I6" s="125">
        <v>9</v>
      </c>
      <c r="J6" s="126">
        <v>10</v>
      </c>
    </row>
    <row r="7" spans="1:10" ht="34.5" customHeight="1">
      <c r="A7" s="128" t="s">
        <v>384</v>
      </c>
      <c r="B7" s="129"/>
      <c r="C7" s="130"/>
      <c r="D7" s="131" t="s">
        <v>385</v>
      </c>
      <c r="E7" s="132"/>
      <c r="F7" s="132"/>
      <c r="G7" s="133">
        <f>G8</f>
        <v>92713306</v>
      </c>
      <c r="H7" s="133">
        <f>H8</f>
        <v>63626062</v>
      </c>
      <c r="I7" s="133">
        <f>I8</f>
        <v>29087244</v>
      </c>
      <c r="J7" s="133">
        <f>J8</f>
        <v>25685586</v>
      </c>
    </row>
    <row r="8" spans="1:10" ht="34.5" customHeight="1">
      <c r="A8" s="128" t="s">
        <v>386</v>
      </c>
      <c r="B8" s="129"/>
      <c r="C8" s="130"/>
      <c r="D8" s="131" t="s">
        <v>385</v>
      </c>
      <c r="E8" s="132"/>
      <c r="F8" s="132"/>
      <c r="G8" s="133">
        <f>H8+I8</f>
        <v>92713306</v>
      </c>
      <c r="H8" s="133">
        <f>SUM(H9:H62)</f>
        <v>63626062</v>
      </c>
      <c r="I8" s="133">
        <f>SUM(I9:I62)</f>
        <v>29087244</v>
      </c>
      <c r="J8" s="133">
        <f>SUM(J9:J62)</f>
        <v>25685586</v>
      </c>
    </row>
    <row r="9" spans="1:10" ht="55.5" customHeight="1">
      <c r="A9" s="536" t="s">
        <v>387</v>
      </c>
      <c r="B9" s="538" t="s">
        <v>388</v>
      </c>
      <c r="C9" s="539" t="s">
        <v>389</v>
      </c>
      <c r="D9" s="534" t="s">
        <v>904</v>
      </c>
      <c r="E9" s="137" t="s">
        <v>905</v>
      </c>
      <c r="F9" s="138" t="s">
        <v>108</v>
      </c>
      <c r="G9" s="139">
        <f>H9+I9</f>
        <v>551226</v>
      </c>
      <c r="H9" s="139">
        <f>91842+198800+20000+70363</f>
        <v>381005</v>
      </c>
      <c r="I9" s="139">
        <f>J9</f>
        <v>170221</v>
      </c>
      <c r="J9" s="139">
        <f>106581+16000+47640</f>
        <v>170221</v>
      </c>
    </row>
    <row r="10" spans="1:10" ht="60" customHeight="1">
      <c r="A10" s="537"/>
      <c r="B10" s="537"/>
      <c r="C10" s="540"/>
      <c r="D10" s="535"/>
      <c r="E10" s="141" t="s">
        <v>906</v>
      </c>
      <c r="F10" s="138" t="s">
        <v>110</v>
      </c>
      <c r="G10" s="139">
        <f>I10+H10</f>
        <v>200000</v>
      </c>
      <c r="H10" s="139"/>
      <c r="I10" s="139">
        <f>J10</f>
        <v>200000</v>
      </c>
      <c r="J10" s="139">
        <v>200000</v>
      </c>
    </row>
    <row r="11" spans="1:10" ht="52.5" customHeight="1">
      <c r="A11" s="536" t="s">
        <v>394</v>
      </c>
      <c r="B11" s="538" t="s">
        <v>395</v>
      </c>
      <c r="C11" s="539" t="s">
        <v>396</v>
      </c>
      <c r="D11" s="534" t="s">
        <v>907</v>
      </c>
      <c r="E11" s="142" t="s">
        <v>908</v>
      </c>
      <c r="F11" s="142" t="s">
        <v>909</v>
      </c>
      <c r="G11" s="143">
        <f aca="true" t="shared" si="0" ref="G11:G49">H11+I11</f>
        <v>741356</v>
      </c>
      <c r="H11" s="143">
        <v>691356</v>
      </c>
      <c r="I11" s="143">
        <v>50000</v>
      </c>
      <c r="J11" s="133"/>
    </row>
    <row r="12" spans="1:10" ht="66.75" customHeight="1">
      <c r="A12" s="537"/>
      <c r="B12" s="537"/>
      <c r="C12" s="540"/>
      <c r="D12" s="535"/>
      <c r="E12" s="141" t="s">
        <v>906</v>
      </c>
      <c r="F12" s="138" t="s">
        <v>110</v>
      </c>
      <c r="G12" s="143">
        <f t="shared" si="0"/>
        <v>300000</v>
      </c>
      <c r="H12" s="143"/>
      <c r="I12" s="143">
        <f>J12</f>
        <v>300000</v>
      </c>
      <c r="J12" s="143">
        <v>300000</v>
      </c>
    </row>
    <row r="13" spans="1:10" ht="66" customHeight="1">
      <c r="A13" s="539" t="s">
        <v>399</v>
      </c>
      <c r="B13" s="576" t="s">
        <v>400</v>
      </c>
      <c r="C13" s="539" t="s">
        <v>401</v>
      </c>
      <c r="D13" s="544" t="s">
        <v>402</v>
      </c>
      <c r="E13" s="141" t="s">
        <v>910</v>
      </c>
      <c r="F13" s="142" t="s">
        <v>911</v>
      </c>
      <c r="G13" s="139">
        <f t="shared" si="0"/>
        <v>20895014</v>
      </c>
      <c r="H13" s="139">
        <f>11676066+339000+51430+144600+100000+649388+30050+1000000+152128+190128+5000+1130315</f>
        <v>15468105</v>
      </c>
      <c r="I13" s="139">
        <f>2648064+J13</f>
        <v>5426909</v>
      </c>
      <c r="J13" s="139">
        <f>1579984+168000+114000+63752+112000+10000+523209+207900</f>
        <v>2778845</v>
      </c>
    </row>
    <row r="14" spans="1:10" ht="57.75" customHeight="1">
      <c r="A14" s="575"/>
      <c r="B14" s="575"/>
      <c r="C14" s="575"/>
      <c r="D14" s="548"/>
      <c r="E14" s="141" t="s">
        <v>317</v>
      </c>
      <c r="F14" s="142" t="s">
        <v>318</v>
      </c>
      <c r="G14" s="139">
        <f t="shared" si="0"/>
        <v>100168</v>
      </c>
      <c r="H14" s="139">
        <f>100168</f>
        <v>100168</v>
      </c>
      <c r="I14" s="139"/>
      <c r="J14" s="139"/>
    </row>
    <row r="15" spans="1:10" ht="53.25" customHeight="1">
      <c r="A15" s="547" t="s">
        <v>415</v>
      </c>
      <c r="B15" s="543">
        <v>2152</v>
      </c>
      <c r="C15" s="561" t="s">
        <v>409</v>
      </c>
      <c r="D15" s="562" t="s">
        <v>417</v>
      </c>
      <c r="E15" s="141" t="s">
        <v>419</v>
      </c>
      <c r="F15" s="141" t="s">
        <v>111</v>
      </c>
      <c r="G15" s="139">
        <f t="shared" si="0"/>
        <v>199000</v>
      </c>
      <c r="H15" s="139">
        <v>199000</v>
      </c>
      <c r="I15" s="139"/>
      <c r="J15" s="146"/>
    </row>
    <row r="16" spans="1:10" ht="53.25" customHeight="1">
      <c r="A16" s="547"/>
      <c r="B16" s="543"/>
      <c r="C16" s="561"/>
      <c r="D16" s="562"/>
      <c r="E16" s="141" t="s">
        <v>912</v>
      </c>
      <c r="F16" s="141" t="s">
        <v>913</v>
      </c>
      <c r="G16" s="139">
        <f t="shared" si="0"/>
        <v>199000</v>
      </c>
      <c r="H16" s="139">
        <v>199000</v>
      </c>
      <c r="I16" s="139"/>
      <c r="J16" s="146"/>
    </row>
    <row r="17" spans="1:10" ht="54.75" customHeight="1">
      <c r="A17" s="547"/>
      <c r="B17" s="543"/>
      <c r="C17" s="561"/>
      <c r="D17" s="562"/>
      <c r="E17" s="141" t="s">
        <v>418</v>
      </c>
      <c r="F17" s="141" t="s">
        <v>35</v>
      </c>
      <c r="G17" s="139">
        <f>H17+I17</f>
        <v>301860</v>
      </c>
      <c r="H17" s="139">
        <v>209404</v>
      </c>
      <c r="I17" s="139">
        <f>J17</f>
        <v>92456</v>
      </c>
      <c r="J17" s="139">
        <v>92456</v>
      </c>
    </row>
    <row r="18" spans="1:10" ht="50.25" customHeight="1">
      <c r="A18" s="547"/>
      <c r="B18" s="543"/>
      <c r="C18" s="561"/>
      <c r="D18" s="562"/>
      <c r="E18" s="141" t="s">
        <v>263</v>
      </c>
      <c r="F18" s="141" t="s">
        <v>315</v>
      </c>
      <c r="G18" s="139">
        <f>H18</f>
        <v>212017</v>
      </c>
      <c r="H18" s="139">
        <f>212017+168455-168455</f>
        <v>212017</v>
      </c>
      <c r="I18" s="139"/>
      <c r="J18" s="139"/>
    </row>
    <row r="19" spans="1:10" ht="57" customHeight="1">
      <c r="A19" s="547"/>
      <c r="B19" s="543"/>
      <c r="C19" s="561"/>
      <c r="D19" s="562"/>
      <c r="E19" s="141" t="s">
        <v>910</v>
      </c>
      <c r="F19" s="142" t="s">
        <v>911</v>
      </c>
      <c r="G19" s="139">
        <f t="shared" si="0"/>
        <v>1984558</v>
      </c>
      <c r="H19" s="139"/>
      <c r="I19" s="139">
        <f>J19</f>
        <v>1984558</v>
      </c>
      <c r="J19" s="139">
        <f>43078+1541480+400000</f>
        <v>1984558</v>
      </c>
    </row>
    <row r="20" spans="1:10" s="115" customFormat="1" ht="59.25" customHeight="1">
      <c r="A20" s="144" t="s">
        <v>424</v>
      </c>
      <c r="B20" s="147">
        <v>3112</v>
      </c>
      <c r="C20" s="130" t="s">
        <v>426</v>
      </c>
      <c r="D20" s="142" t="s">
        <v>427</v>
      </c>
      <c r="E20" s="138" t="s">
        <v>914</v>
      </c>
      <c r="F20" s="138" t="s">
        <v>915</v>
      </c>
      <c r="G20" s="143">
        <f t="shared" si="0"/>
        <v>3000</v>
      </c>
      <c r="H20" s="143">
        <v>3000</v>
      </c>
      <c r="I20" s="143"/>
      <c r="J20" s="133"/>
    </row>
    <row r="21" spans="1:10" ht="63" customHeight="1">
      <c r="A21" s="144" t="s">
        <v>431</v>
      </c>
      <c r="B21" s="144" t="s">
        <v>432</v>
      </c>
      <c r="C21" s="144" t="s">
        <v>433</v>
      </c>
      <c r="D21" s="142" t="s">
        <v>434</v>
      </c>
      <c r="E21" s="138" t="s">
        <v>916</v>
      </c>
      <c r="F21" s="141" t="s">
        <v>913</v>
      </c>
      <c r="G21" s="143">
        <f t="shared" si="0"/>
        <v>102000</v>
      </c>
      <c r="H21" s="143">
        <f>96000+6000</f>
        <v>102000</v>
      </c>
      <c r="I21" s="143"/>
      <c r="J21" s="133"/>
    </row>
    <row r="22" spans="1:10" ht="53.25" customHeight="1">
      <c r="A22" s="144" t="s">
        <v>48</v>
      </c>
      <c r="B22" s="144" t="s">
        <v>49</v>
      </c>
      <c r="C22" s="144" t="s">
        <v>50</v>
      </c>
      <c r="D22" s="142" t="s">
        <v>52</v>
      </c>
      <c r="E22" s="220" t="s">
        <v>300</v>
      </c>
      <c r="F22" s="141" t="s">
        <v>54</v>
      </c>
      <c r="G22" s="143">
        <f>H22+I22</f>
        <v>28000</v>
      </c>
      <c r="H22" s="143">
        <f>14000+14000</f>
        <v>28000</v>
      </c>
      <c r="I22" s="143"/>
      <c r="J22" s="133"/>
    </row>
    <row r="23" spans="1:10" s="115" customFormat="1" ht="56.25" customHeight="1">
      <c r="A23" s="144" t="s">
        <v>438</v>
      </c>
      <c r="B23" s="144" t="s">
        <v>439</v>
      </c>
      <c r="C23" s="144" t="s">
        <v>440</v>
      </c>
      <c r="D23" s="142" t="s">
        <v>917</v>
      </c>
      <c r="E23" s="148" t="s">
        <v>916</v>
      </c>
      <c r="F23" s="219" t="s">
        <v>913</v>
      </c>
      <c r="G23" s="143">
        <f t="shared" si="0"/>
        <v>586000</v>
      </c>
      <c r="H23" s="143">
        <f>436000+150000</f>
        <v>586000</v>
      </c>
      <c r="I23" s="133"/>
      <c r="J23" s="133"/>
    </row>
    <row r="24" spans="1:10" ht="57.75" customHeight="1">
      <c r="A24" s="536" t="s">
        <v>442</v>
      </c>
      <c r="B24" s="536" t="s">
        <v>443</v>
      </c>
      <c r="C24" s="536" t="s">
        <v>444</v>
      </c>
      <c r="D24" s="544" t="s">
        <v>445</v>
      </c>
      <c r="E24" s="141" t="s">
        <v>906</v>
      </c>
      <c r="F24" s="138" t="s">
        <v>110</v>
      </c>
      <c r="G24" s="143">
        <f t="shared" si="0"/>
        <v>612727</v>
      </c>
      <c r="H24" s="143"/>
      <c r="I24" s="143">
        <f>J24</f>
        <v>612727</v>
      </c>
      <c r="J24" s="143">
        <f>932088+292471+292010-903842</f>
        <v>612727</v>
      </c>
    </row>
    <row r="25" spans="1:10" ht="56.25" customHeight="1">
      <c r="A25" s="546"/>
      <c r="B25" s="546"/>
      <c r="C25" s="546"/>
      <c r="D25" s="548"/>
      <c r="E25" s="137" t="s">
        <v>918</v>
      </c>
      <c r="F25" s="141" t="s">
        <v>109</v>
      </c>
      <c r="G25" s="143">
        <f t="shared" si="0"/>
        <v>2304005</v>
      </c>
      <c r="H25" s="143">
        <f>1162520+141485+1000000</f>
        <v>2304005</v>
      </c>
      <c r="I25" s="143"/>
      <c r="J25" s="143"/>
    </row>
    <row r="26" spans="1:10" ht="57.75" customHeight="1">
      <c r="A26" s="536" t="s">
        <v>446</v>
      </c>
      <c r="B26" s="536" t="s">
        <v>447</v>
      </c>
      <c r="C26" s="536" t="s">
        <v>444</v>
      </c>
      <c r="D26" s="544" t="s">
        <v>448</v>
      </c>
      <c r="E26" s="141" t="s">
        <v>906</v>
      </c>
      <c r="F26" s="138" t="s">
        <v>110</v>
      </c>
      <c r="G26" s="143">
        <f>H26+I26</f>
        <v>98730</v>
      </c>
      <c r="H26" s="143"/>
      <c r="I26" s="143">
        <f>J26</f>
        <v>98730</v>
      </c>
      <c r="J26" s="143">
        <v>98730</v>
      </c>
    </row>
    <row r="27" spans="1:10" ht="62.25" customHeight="1">
      <c r="A27" s="537"/>
      <c r="B27" s="537"/>
      <c r="C27" s="537"/>
      <c r="D27" s="545"/>
      <c r="E27" s="137" t="s">
        <v>918</v>
      </c>
      <c r="F27" s="141" t="s">
        <v>109</v>
      </c>
      <c r="G27" s="143">
        <f>H27+I27</f>
        <v>2239803</v>
      </c>
      <c r="H27" s="143">
        <f>1929703</f>
        <v>1929703</v>
      </c>
      <c r="I27" s="143">
        <f>J27</f>
        <v>310100</v>
      </c>
      <c r="J27" s="143">
        <v>310100</v>
      </c>
    </row>
    <row r="28" spans="1:10" ht="53.25" customHeight="1">
      <c r="A28" s="144" t="s">
        <v>449</v>
      </c>
      <c r="B28" s="144" t="s">
        <v>450</v>
      </c>
      <c r="C28" s="144" t="s">
        <v>444</v>
      </c>
      <c r="D28" s="142" t="s">
        <v>451</v>
      </c>
      <c r="E28" s="137" t="s">
        <v>918</v>
      </c>
      <c r="F28" s="141" t="s">
        <v>109</v>
      </c>
      <c r="G28" s="143">
        <f>H28+I28</f>
        <v>735998</v>
      </c>
      <c r="H28" s="143">
        <f>467493+268505</f>
        <v>735998</v>
      </c>
      <c r="I28" s="218"/>
      <c r="J28" s="133"/>
    </row>
    <row r="29" spans="1:10" ht="56.25" customHeight="1">
      <c r="A29" s="144" t="s">
        <v>452</v>
      </c>
      <c r="B29" s="144" t="s">
        <v>453</v>
      </c>
      <c r="C29" s="144" t="s">
        <v>444</v>
      </c>
      <c r="D29" s="142" t="s">
        <v>454</v>
      </c>
      <c r="E29" s="138" t="s">
        <v>919</v>
      </c>
      <c r="F29" s="138" t="s">
        <v>920</v>
      </c>
      <c r="G29" s="143">
        <f t="shared" si="0"/>
        <v>590729</v>
      </c>
      <c r="H29" s="143"/>
      <c r="I29" s="143">
        <f>J29</f>
        <v>590729</v>
      </c>
      <c r="J29" s="143">
        <f>131203+400000+59526</f>
        <v>590729</v>
      </c>
    </row>
    <row r="30" spans="1:10" ht="56.25" customHeight="1">
      <c r="A30" s="134" t="s">
        <v>455</v>
      </c>
      <c r="B30" s="134" t="s">
        <v>456</v>
      </c>
      <c r="C30" s="134" t="s">
        <v>444</v>
      </c>
      <c r="D30" s="150" t="s">
        <v>921</v>
      </c>
      <c r="E30" s="138" t="s">
        <v>922</v>
      </c>
      <c r="F30" s="138" t="s">
        <v>112</v>
      </c>
      <c r="G30" s="143">
        <f t="shared" si="0"/>
        <v>1700000</v>
      </c>
      <c r="H30" s="143">
        <f>800000+400000+500000</f>
        <v>1700000</v>
      </c>
      <c r="I30" s="143"/>
      <c r="J30" s="133"/>
    </row>
    <row r="31" spans="1:10" ht="63.75" customHeight="1">
      <c r="A31" s="144" t="s">
        <v>458</v>
      </c>
      <c r="B31" s="144" t="s">
        <v>459</v>
      </c>
      <c r="C31" s="144" t="s">
        <v>444</v>
      </c>
      <c r="D31" s="142" t="s">
        <v>460</v>
      </c>
      <c r="E31" s="137" t="s">
        <v>918</v>
      </c>
      <c r="F31" s="141" t="s">
        <v>109</v>
      </c>
      <c r="G31" s="143">
        <f t="shared" si="0"/>
        <v>950000</v>
      </c>
      <c r="H31" s="143">
        <f>900000+50000</f>
        <v>950000</v>
      </c>
      <c r="I31" s="143"/>
      <c r="J31" s="133"/>
    </row>
    <row r="32" spans="1:10" ht="60" customHeight="1">
      <c r="A32" s="536" t="s">
        <v>461</v>
      </c>
      <c r="B32" s="539" t="s">
        <v>462</v>
      </c>
      <c r="C32" s="539" t="s">
        <v>444</v>
      </c>
      <c r="D32" s="544" t="s">
        <v>463</v>
      </c>
      <c r="E32" s="138" t="s">
        <v>922</v>
      </c>
      <c r="F32" s="138" t="s">
        <v>112</v>
      </c>
      <c r="G32" s="143">
        <f t="shared" si="0"/>
        <v>22246587</v>
      </c>
      <c r="H32" s="143">
        <f>18386200+420000+1500000+195000+150000+250000+114713+100000+199000+6600+199000+199574+300000</f>
        <v>22020087</v>
      </c>
      <c r="I32" s="143">
        <f>J32</f>
        <v>226500</v>
      </c>
      <c r="J32" s="143">
        <f>60000+166500</f>
        <v>226500</v>
      </c>
    </row>
    <row r="33" spans="1:10" ht="57.75" customHeight="1">
      <c r="A33" s="537"/>
      <c r="B33" s="540"/>
      <c r="C33" s="540"/>
      <c r="D33" s="545"/>
      <c r="E33" s="141" t="s">
        <v>906</v>
      </c>
      <c r="F33" s="138" t="s">
        <v>110</v>
      </c>
      <c r="G33" s="143">
        <f>H33+I33</f>
        <v>180000</v>
      </c>
      <c r="H33" s="143"/>
      <c r="I33" s="143">
        <f>J33</f>
        <v>180000</v>
      </c>
      <c r="J33" s="143">
        <v>180000</v>
      </c>
    </row>
    <row r="34" spans="1:10" ht="121.5" customHeight="1">
      <c r="A34" s="144" t="s">
        <v>239</v>
      </c>
      <c r="B34" s="144" t="s">
        <v>240</v>
      </c>
      <c r="C34" s="144" t="s">
        <v>472</v>
      </c>
      <c r="D34" s="142" t="s">
        <v>241</v>
      </c>
      <c r="E34" s="137" t="s">
        <v>918</v>
      </c>
      <c r="F34" s="141" t="s">
        <v>109</v>
      </c>
      <c r="G34" s="143">
        <f>H34+I34</f>
        <v>655782</v>
      </c>
      <c r="H34" s="143">
        <v>655782</v>
      </c>
      <c r="I34" s="143"/>
      <c r="J34" s="143"/>
    </row>
    <row r="35" spans="1:10" ht="58.5" customHeight="1">
      <c r="A35" s="536" t="s">
        <v>470</v>
      </c>
      <c r="B35" s="536" t="s">
        <v>471</v>
      </c>
      <c r="C35" s="536" t="s">
        <v>472</v>
      </c>
      <c r="D35" s="549" t="s">
        <v>473</v>
      </c>
      <c r="E35" s="138" t="s">
        <v>912</v>
      </c>
      <c r="F35" s="141" t="s">
        <v>913</v>
      </c>
      <c r="G35" s="143">
        <f t="shared" si="0"/>
        <v>46700</v>
      </c>
      <c r="H35" s="143">
        <f>30000+16700</f>
        <v>46700</v>
      </c>
      <c r="I35" s="143"/>
      <c r="J35" s="133"/>
    </row>
    <row r="36" spans="1:10" ht="57.75" customHeight="1">
      <c r="A36" s="537"/>
      <c r="B36" s="537"/>
      <c r="C36" s="537"/>
      <c r="D36" s="545"/>
      <c r="E36" s="138" t="s">
        <v>922</v>
      </c>
      <c r="F36" s="138" t="s">
        <v>112</v>
      </c>
      <c r="G36" s="143">
        <f t="shared" si="0"/>
        <v>190000</v>
      </c>
      <c r="H36" s="143">
        <v>190000</v>
      </c>
      <c r="I36" s="143"/>
      <c r="J36" s="133"/>
    </row>
    <row r="37" spans="1:10" ht="66" customHeight="1">
      <c r="A37" s="144" t="s">
        <v>474</v>
      </c>
      <c r="B37" s="144" t="s">
        <v>475</v>
      </c>
      <c r="C37" s="144" t="s">
        <v>476</v>
      </c>
      <c r="D37" s="151" t="s">
        <v>923</v>
      </c>
      <c r="E37" s="138" t="s">
        <v>924</v>
      </c>
      <c r="F37" s="138" t="s">
        <v>113</v>
      </c>
      <c r="G37" s="143">
        <f t="shared" si="0"/>
        <v>142777</v>
      </c>
      <c r="H37" s="143">
        <f>100000+42777</f>
        <v>142777</v>
      </c>
      <c r="I37" s="143"/>
      <c r="J37" s="133"/>
    </row>
    <row r="38" spans="1:10" ht="60.75" customHeight="1">
      <c r="A38" s="144" t="s">
        <v>18</v>
      </c>
      <c r="B38" s="144" t="s">
        <v>19</v>
      </c>
      <c r="C38" s="144" t="s">
        <v>480</v>
      </c>
      <c r="D38" s="142" t="s">
        <v>20</v>
      </c>
      <c r="E38" s="141" t="s">
        <v>906</v>
      </c>
      <c r="F38" s="138" t="s">
        <v>110</v>
      </c>
      <c r="G38" s="143">
        <f>H38+I38</f>
        <v>3053607</v>
      </c>
      <c r="H38" s="143"/>
      <c r="I38" s="143">
        <f>J38</f>
        <v>3053607</v>
      </c>
      <c r="J38" s="143">
        <f>206395+1443370+1403842</f>
        <v>3053607</v>
      </c>
    </row>
    <row r="39" spans="1:10" ht="61.5" customHeight="1">
      <c r="A39" s="144" t="s">
        <v>478</v>
      </c>
      <c r="B39" s="144" t="s">
        <v>479</v>
      </c>
      <c r="C39" s="144" t="s">
        <v>480</v>
      </c>
      <c r="D39" s="142" t="s">
        <v>481</v>
      </c>
      <c r="E39" s="141" t="s">
        <v>910</v>
      </c>
      <c r="F39" s="142" t="s">
        <v>911</v>
      </c>
      <c r="G39" s="143">
        <f t="shared" si="0"/>
        <v>41709</v>
      </c>
      <c r="H39" s="143"/>
      <c r="I39" s="143">
        <f>J39</f>
        <v>41709</v>
      </c>
      <c r="J39" s="143">
        <v>41709</v>
      </c>
    </row>
    <row r="40" spans="1:10" ht="76.5" customHeight="1">
      <c r="A40" s="144" t="s">
        <v>482</v>
      </c>
      <c r="B40" s="144" t="s">
        <v>483</v>
      </c>
      <c r="C40" s="144" t="s">
        <v>480</v>
      </c>
      <c r="D40" s="142" t="s">
        <v>899</v>
      </c>
      <c r="E40" s="556" t="s">
        <v>906</v>
      </c>
      <c r="F40" s="558" t="s">
        <v>110</v>
      </c>
      <c r="G40" s="143">
        <f t="shared" si="0"/>
        <v>2415049</v>
      </c>
      <c r="H40" s="143"/>
      <c r="I40" s="143">
        <f>J40</f>
        <v>2415049</v>
      </c>
      <c r="J40" s="143">
        <f>945049+1000000+470000+500000-500000</f>
        <v>2415049</v>
      </c>
    </row>
    <row r="41" spans="1:10" ht="70.5" customHeight="1">
      <c r="A41" s="144" t="s">
        <v>484</v>
      </c>
      <c r="B41" s="144" t="s">
        <v>485</v>
      </c>
      <c r="C41" s="144" t="s">
        <v>486</v>
      </c>
      <c r="D41" s="137" t="s">
        <v>487</v>
      </c>
      <c r="E41" s="557"/>
      <c r="F41" s="557"/>
      <c r="G41" s="143">
        <f t="shared" si="0"/>
        <v>1383602</v>
      </c>
      <c r="H41" s="143"/>
      <c r="I41" s="143">
        <f>J41</f>
        <v>1383602</v>
      </c>
      <c r="J41" s="143">
        <f>1800000+1050000-500000-550000-416398</f>
        <v>1383602</v>
      </c>
    </row>
    <row r="42" spans="1:10" s="244" customFormat="1" ht="74.25" customHeight="1" hidden="1">
      <c r="A42" s="144" t="s">
        <v>103</v>
      </c>
      <c r="B42" s="144" t="s">
        <v>22</v>
      </c>
      <c r="C42" s="144" t="s">
        <v>486</v>
      </c>
      <c r="D42" s="142" t="s">
        <v>23</v>
      </c>
      <c r="E42" s="141" t="s">
        <v>910</v>
      </c>
      <c r="F42" s="142" t="s">
        <v>911</v>
      </c>
      <c r="G42" s="143"/>
      <c r="H42" s="143"/>
      <c r="I42" s="143"/>
      <c r="J42" s="143"/>
    </row>
    <row r="43" spans="1:10" ht="51" customHeight="1">
      <c r="A43" s="536" t="s">
        <v>488</v>
      </c>
      <c r="B43" s="536" t="s">
        <v>489</v>
      </c>
      <c r="C43" s="536" t="s">
        <v>490</v>
      </c>
      <c r="D43" s="549" t="s">
        <v>491</v>
      </c>
      <c r="E43" s="137" t="s">
        <v>918</v>
      </c>
      <c r="F43" s="141" t="s">
        <v>109</v>
      </c>
      <c r="G43" s="143">
        <f t="shared" si="0"/>
        <v>900000</v>
      </c>
      <c r="H43" s="143">
        <f>500000+400000</f>
        <v>900000</v>
      </c>
      <c r="I43" s="143"/>
      <c r="J43" s="133"/>
    </row>
    <row r="44" spans="1:10" ht="53.25" customHeight="1">
      <c r="A44" s="546"/>
      <c r="B44" s="546"/>
      <c r="C44" s="546"/>
      <c r="D44" s="548"/>
      <c r="E44" s="137" t="s">
        <v>264</v>
      </c>
      <c r="F44" s="141" t="s">
        <v>265</v>
      </c>
      <c r="G44" s="143">
        <f>H44+I44</f>
        <v>90048</v>
      </c>
      <c r="H44" s="143">
        <v>90048</v>
      </c>
      <c r="I44" s="143"/>
      <c r="J44" s="133"/>
    </row>
    <row r="45" spans="1:10" ht="53.25" customHeight="1">
      <c r="A45" s="161" t="s">
        <v>304</v>
      </c>
      <c r="B45" s="161" t="s">
        <v>305</v>
      </c>
      <c r="C45" s="161" t="s">
        <v>490</v>
      </c>
      <c r="D45" s="149" t="s">
        <v>306</v>
      </c>
      <c r="E45" s="137" t="s">
        <v>312</v>
      </c>
      <c r="F45" s="141" t="s">
        <v>328</v>
      </c>
      <c r="G45" s="143">
        <f>H45+I45</f>
        <v>76536</v>
      </c>
      <c r="H45" s="143">
        <f>76536</f>
        <v>76536</v>
      </c>
      <c r="I45" s="143"/>
      <c r="J45" s="133"/>
    </row>
    <row r="46" spans="1:10" ht="57.75" customHeight="1">
      <c r="A46" s="144" t="s">
        <v>492</v>
      </c>
      <c r="B46" s="144" t="s">
        <v>493</v>
      </c>
      <c r="C46" s="144" t="s">
        <v>494</v>
      </c>
      <c r="D46" s="142" t="s">
        <v>495</v>
      </c>
      <c r="E46" s="138" t="s">
        <v>922</v>
      </c>
      <c r="F46" s="138" t="s">
        <v>112</v>
      </c>
      <c r="G46" s="143">
        <f t="shared" si="0"/>
        <v>6135415</v>
      </c>
      <c r="H46" s="143">
        <f>5860000+102000</f>
        <v>5962000</v>
      </c>
      <c r="I46" s="143">
        <f>J46</f>
        <v>173415</v>
      </c>
      <c r="J46" s="143">
        <f>140000+17532+15883</f>
        <v>173415</v>
      </c>
    </row>
    <row r="47" spans="1:10" ht="49.5">
      <c r="A47" s="536" t="s">
        <v>500</v>
      </c>
      <c r="B47" s="536" t="s">
        <v>501</v>
      </c>
      <c r="C47" s="536" t="s">
        <v>486</v>
      </c>
      <c r="D47" s="534" t="s">
        <v>502</v>
      </c>
      <c r="E47" s="137" t="s">
        <v>918</v>
      </c>
      <c r="F47" s="141" t="s">
        <v>109</v>
      </c>
      <c r="G47" s="143">
        <f t="shared" si="0"/>
        <v>10142387</v>
      </c>
      <c r="H47" s="152"/>
      <c r="I47" s="152">
        <f>J47</f>
        <v>10142387</v>
      </c>
      <c r="J47" s="143">
        <f>2280000+1500000+4619880+91126+135897+175000+38925+147100+195300+94990+250000+614169</f>
        <v>10142387</v>
      </c>
    </row>
    <row r="48" spans="1:10" ht="53.25" customHeight="1">
      <c r="A48" s="537"/>
      <c r="B48" s="537"/>
      <c r="C48" s="537"/>
      <c r="D48" s="535"/>
      <c r="E48" s="138" t="s">
        <v>925</v>
      </c>
      <c r="F48" s="138" t="s">
        <v>114</v>
      </c>
      <c r="G48" s="143">
        <f t="shared" si="0"/>
        <v>50000</v>
      </c>
      <c r="H48" s="152"/>
      <c r="I48" s="152">
        <f>J48</f>
        <v>50000</v>
      </c>
      <c r="J48" s="143">
        <v>50000</v>
      </c>
    </row>
    <row r="49" spans="1:10" ht="49.5">
      <c r="A49" s="144" t="s">
        <v>503</v>
      </c>
      <c r="B49" s="144" t="s">
        <v>504</v>
      </c>
      <c r="C49" s="144" t="s">
        <v>486</v>
      </c>
      <c r="D49" s="137" t="s">
        <v>505</v>
      </c>
      <c r="E49" s="137" t="s">
        <v>926</v>
      </c>
      <c r="F49" s="138" t="s">
        <v>108</v>
      </c>
      <c r="G49" s="143">
        <f t="shared" si="0"/>
        <v>25799</v>
      </c>
      <c r="H49" s="143">
        <v>25799</v>
      </c>
      <c r="I49" s="143"/>
      <c r="J49" s="133"/>
    </row>
    <row r="50" spans="1:10" ht="51" customHeight="1">
      <c r="A50" s="547" t="s">
        <v>509</v>
      </c>
      <c r="B50" s="547" t="s">
        <v>510</v>
      </c>
      <c r="C50" s="547" t="s">
        <v>486</v>
      </c>
      <c r="D50" s="551" t="s">
        <v>511</v>
      </c>
      <c r="E50" s="137" t="s">
        <v>36</v>
      </c>
      <c r="F50" s="138" t="s">
        <v>108</v>
      </c>
      <c r="G50" s="143">
        <f>H50+I50</f>
        <v>2469416</v>
      </c>
      <c r="H50" s="143">
        <f>14000+36000+28618+840000+28940+98700+38420+241209+20686+500000+24447+10891+82505+105000+400000</f>
        <v>2469416</v>
      </c>
      <c r="I50" s="143"/>
      <c r="J50" s="133"/>
    </row>
    <row r="51" spans="1:10" ht="51" customHeight="1">
      <c r="A51" s="547"/>
      <c r="B51" s="547"/>
      <c r="C51" s="547"/>
      <c r="D51" s="551"/>
      <c r="E51" s="272" t="s">
        <v>927</v>
      </c>
      <c r="F51" s="138" t="s">
        <v>115</v>
      </c>
      <c r="G51" s="143">
        <f>H51+I51</f>
        <v>7750</v>
      </c>
      <c r="H51" s="143">
        <f>6000+1750</f>
        <v>7750</v>
      </c>
      <c r="I51" s="143"/>
      <c r="J51" s="133"/>
    </row>
    <row r="52" spans="1:10" ht="49.5" customHeight="1">
      <c r="A52" s="543"/>
      <c r="B52" s="543"/>
      <c r="C52" s="543"/>
      <c r="D52" s="552"/>
      <c r="E52" s="137" t="s">
        <v>805</v>
      </c>
      <c r="F52" s="138" t="s">
        <v>116</v>
      </c>
      <c r="G52" s="143">
        <f>H52+I52</f>
        <v>253772</v>
      </c>
      <c r="H52" s="143">
        <f>228432-55000+80340</f>
        <v>253772</v>
      </c>
      <c r="I52" s="143"/>
      <c r="J52" s="133"/>
    </row>
    <row r="53" spans="1:10" ht="53.25" customHeight="1">
      <c r="A53" s="543"/>
      <c r="B53" s="543"/>
      <c r="C53" s="543"/>
      <c r="D53" s="552"/>
      <c r="E53" s="138" t="s">
        <v>925</v>
      </c>
      <c r="F53" s="138" t="s">
        <v>114</v>
      </c>
      <c r="G53" s="143">
        <f>H53+I53</f>
        <v>403302</v>
      </c>
      <c r="H53" s="143">
        <f>90000+141222+122100+49980</f>
        <v>403302</v>
      </c>
      <c r="I53" s="143"/>
      <c r="J53" s="133"/>
    </row>
    <row r="54" spans="1:10" ht="57" customHeight="1">
      <c r="A54" s="543"/>
      <c r="B54" s="543"/>
      <c r="C54" s="543"/>
      <c r="D54" s="552"/>
      <c r="E54" s="141" t="s">
        <v>906</v>
      </c>
      <c r="F54" s="138" t="s">
        <v>110</v>
      </c>
      <c r="G54" s="143">
        <f aca="true" t="shared" si="1" ref="G54:G60">H54+I54</f>
        <v>880951</v>
      </c>
      <c r="H54" s="143"/>
      <c r="I54" s="143">
        <f>J54</f>
        <v>880951</v>
      </c>
      <c r="J54" s="143">
        <f>478951-180000+550000+32000</f>
        <v>880951</v>
      </c>
    </row>
    <row r="55" spans="1:10" ht="54" customHeight="1">
      <c r="A55" s="543"/>
      <c r="B55" s="543"/>
      <c r="C55" s="543"/>
      <c r="D55" s="552"/>
      <c r="E55" s="141" t="s">
        <v>928</v>
      </c>
      <c r="F55" s="141" t="s">
        <v>117</v>
      </c>
      <c r="G55" s="143">
        <f t="shared" si="1"/>
        <v>200000</v>
      </c>
      <c r="H55" s="143">
        <v>200000</v>
      </c>
      <c r="I55" s="143"/>
      <c r="J55" s="133"/>
    </row>
    <row r="56" spans="1:10" ht="53.25" customHeight="1">
      <c r="A56" s="543"/>
      <c r="B56" s="543"/>
      <c r="C56" s="543"/>
      <c r="D56" s="552"/>
      <c r="E56" s="141" t="s">
        <v>929</v>
      </c>
      <c r="F56" s="138" t="s">
        <v>118</v>
      </c>
      <c r="G56" s="143">
        <f t="shared" si="1"/>
        <v>400000</v>
      </c>
      <c r="H56" s="143">
        <v>400000</v>
      </c>
      <c r="I56" s="143"/>
      <c r="J56" s="133"/>
    </row>
    <row r="57" spans="1:10" ht="54.75" customHeight="1">
      <c r="A57" s="543"/>
      <c r="B57" s="543"/>
      <c r="C57" s="543"/>
      <c r="D57" s="552"/>
      <c r="E57" s="137" t="s">
        <v>918</v>
      </c>
      <c r="F57" s="141" t="s">
        <v>109</v>
      </c>
      <c r="G57" s="143">
        <f t="shared" si="1"/>
        <v>350000</v>
      </c>
      <c r="H57" s="143">
        <v>350000</v>
      </c>
      <c r="I57" s="143"/>
      <c r="J57" s="133"/>
    </row>
    <row r="58" spans="1:10" ht="28.5" customHeight="1">
      <c r="A58" s="144" t="s">
        <v>509</v>
      </c>
      <c r="B58" s="126">
        <v>7693</v>
      </c>
      <c r="C58" s="144" t="s">
        <v>486</v>
      </c>
      <c r="D58" s="137" t="s">
        <v>511</v>
      </c>
      <c r="E58" s="544" t="s">
        <v>930</v>
      </c>
      <c r="F58" s="544" t="s">
        <v>301</v>
      </c>
      <c r="G58" s="143">
        <f t="shared" si="1"/>
        <v>160000</v>
      </c>
      <c r="H58" s="143">
        <v>160000</v>
      </c>
      <c r="I58" s="143"/>
      <c r="J58" s="133"/>
    </row>
    <row r="59" spans="1:10" ht="40.5" customHeight="1">
      <c r="A59" s="144" t="s">
        <v>517</v>
      </c>
      <c r="B59" s="126">
        <v>8210</v>
      </c>
      <c r="C59" s="144" t="s">
        <v>519</v>
      </c>
      <c r="D59" s="137" t="s">
        <v>520</v>
      </c>
      <c r="E59" s="577"/>
      <c r="F59" s="577"/>
      <c r="G59" s="143">
        <f t="shared" si="1"/>
        <v>1724195</v>
      </c>
      <c r="H59" s="143">
        <v>1724195</v>
      </c>
      <c r="I59" s="143"/>
      <c r="J59" s="133"/>
    </row>
    <row r="60" spans="1:10" ht="49.5">
      <c r="A60" s="144" t="s">
        <v>521</v>
      </c>
      <c r="B60" s="144" t="s">
        <v>522</v>
      </c>
      <c r="C60" s="144" t="s">
        <v>523</v>
      </c>
      <c r="D60" s="142" t="s">
        <v>524</v>
      </c>
      <c r="E60" s="138" t="s">
        <v>931</v>
      </c>
      <c r="F60" s="138" t="s">
        <v>932</v>
      </c>
      <c r="G60" s="143">
        <f t="shared" si="1"/>
        <v>703594</v>
      </c>
      <c r="H60" s="143"/>
      <c r="I60" s="143">
        <f>124900+578694</f>
        <v>703594</v>
      </c>
      <c r="J60" s="133"/>
    </row>
    <row r="61" spans="1:10" s="115" customFormat="1" ht="60.75" customHeight="1">
      <c r="A61" s="134" t="s">
        <v>525</v>
      </c>
      <c r="B61" s="134" t="s">
        <v>526</v>
      </c>
      <c r="C61" s="134" t="s">
        <v>527</v>
      </c>
      <c r="D61" s="136" t="s">
        <v>528</v>
      </c>
      <c r="E61" s="137" t="s">
        <v>933</v>
      </c>
      <c r="F61" s="137" t="s">
        <v>302</v>
      </c>
      <c r="G61" s="143">
        <f>H61+I61</f>
        <v>678682</v>
      </c>
      <c r="H61" s="143">
        <v>678682</v>
      </c>
      <c r="I61" s="143"/>
      <c r="J61" s="133"/>
    </row>
    <row r="62" spans="1:10" ht="50.25" thickBot="1">
      <c r="A62" s="153" t="s">
        <v>529</v>
      </c>
      <c r="B62" s="153" t="s">
        <v>530</v>
      </c>
      <c r="C62" s="153" t="s">
        <v>527</v>
      </c>
      <c r="D62" s="154" t="s">
        <v>531</v>
      </c>
      <c r="E62" s="155" t="s">
        <v>926</v>
      </c>
      <c r="F62" s="156" t="s">
        <v>108</v>
      </c>
      <c r="G62" s="157">
        <f>H62+I62</f>
        <v>1070455</v>
      </c>
      <c r="H62" s="157">
        <f>764455+270000+36000</f>
        <v>1070455</v>
      </c>
      <c r="I62" s="157"/>
      <c r="J62" s="157"/>
    </row>
    <row r="63" spans="1:10" ht="37.5" customHeight="1">
      <c r="A63" s="128" t="s">
        <v>532</v>
      </c>
      <c r="B63" s="144"/>
      <c r="C63" s="130"/>
      <c r="D63" s="131" t="s">
        <v>901</v>
      </c>
      <c r="E63" s="138"/>
      <c r="F63" s="158"/>
      <c r="G63" s="133">
        <f>G64</f>
        <v>10845500</v>
      </c>
      <c r="H63" s="133">
        <f>H64</f>
        <v>6759559</v>
      </c>
      <c r="I63" s="133">
        <f>I64</f>
        <v>4085941</v>
      </c>
      <c r="J63" s="133">
        <f>J64</f>
        <v>4085941</v>
      </c>
    </row>
    <row r="64" spans="1:10" ht="39" customHeight="1">
      <c r="A64" s="128" t="s">
        <v>534</v>
      </c>
      <c r="B64" s="144"/>
      <c r="C64" s="130"/>
      <c r="D64" s="131" t="s">
        <v>901</v>
      </c>
      <c r="E64" s="138"/>
      <c r="F64" s="138"/>
      <c r="G64" s="133">
        <f aca="true" t="shared" si="2" ref="G64:G69">H64+I64</f>
        <v>10845500</v>
      </c>
      <c r="H64" s="133">
        <f>SUM(H66:H81)</f>
        <v>6759559</v>
      </c>
      <c r="I64" s="133">
        <f>SUM(I66:I81)</f>
        <v>4085941</v>
      </c>
      <c r="J64" s="133">
        <f>SUM(J66:J81)</f>
        <v>4085941</v>
      </c>
    </row>
    <row r="65" spans="1:10" s="115" customFormat="1" ht="66" customHeight="1" hidden="1">
      <c r="A65" s="536" t="s">
        <v>538</v>
      </c>
      <c r="B65" s="536" t="s">
        <v>539</v>
      </c>
      <c r="C65" s="539" t="s">
        <v>540</v>
      </c>
      <c r="D65" s="534" t="s">
        <v>541</v>
      </c>
      <c r="E65" s="138" t="s">
        <v>934</v>
      </c>
      <c r="F65" s="138" t="s">
        <v>935</v>
      </c>
      <c r="G65" s="143">
        <f t="shared" si="2"/>
        <v>0</v>
      </c>
      <c r="H65" s="133"/>
      <c r="I65" s="133"/>
      <c r="J65" s="133"/>
    </row>
    <row r="66" spans="1:10" ht="74.25" customHeight="1">
      <c r="A66" s="565"/>
      <c r="B66" s="565"/>
      <c r="C66" s="553"/>
      <c r="D66" s="568"/>
      <c r="E66" s="138" t="s">
        <v>936</v>
      </c>
      <c r="F66" s="138" t="s">
        <v>937</v>
      </c>
      <c r="G66" s="143">
        <f t="shared" si="2"/>
        <v>85088</v>
      </c>
      <c r="H66" s="143">
        <f>11390+19298+54400</f>
        <v>85088</v>
      </c>
      <c r="I66" s="143"/>
      <c r="J66" s="133"/>
    </row>
    <row r="67" spans="1:10" ht="49.5">
      <c r="A67" s="537"/>
      <c r="B67" s="537"/>
      <c r="C67" s="540"/>
      <c r="D67" s="535"/>
      <c r="E67" s="138" t="s">
        <v>934</v>
      </c>
      <c r="F67" s="138" t="s">
        <v>938</v>
      </c>
      <c r="G67" s="143">
        <f t="shared" si="2"/>
        <v>1959351</v>
      </c>
      <c r="H67" s="143">
        <f>110049+78438</f>
        <v>188487</v>
      </c>
      <c r="I67" s="143">
        <f>J67</f>
        <v>1770864</v>
      </c>
      <c r="J67" s="143">
        <f>413740+320000+7078+299720+716782+13544</f>
        <v>1770864</v>
      </c>
    </row>
    <row r="68" spans="1:10" ht="54" customHeight="1">
      <c r="A68" s="547" t="s">
        <v>542</v>
      </c>
      <c r="B68" s="547" t="s">
        <v>543</v>
      </c>
      <c r="C68" s="547" t="s">
        <v>544</v>
      </c>
      <c r="D68" s="551" t="s">
        <v>939</v>
      </c>
      <c r="E68" s="137" t="s">
        <v>940</v>
      </c>
      <c r="F68" s="137" t="s">
        <v>941</v>
      </c>
      <c r="G68" s="143">
        <f t="shared" si="2"/>
        <v>296730</v>
      </c>
      <c r="H68" s="124">
        <v>296730</v>
      </c>
      <c r="I68" s="124"/>
      <c r="J68" s="375"/>
    </row>
    <row r="69" spans="1:10" ht="61.5" customHeight="1">
      <c r="A69" s="550"/>
      <c r="B69" s="550"/>
      <c r="C69" s="550"/>
      <c r="D69" s="552"/>
      <c r="E69" s="138" t="s">
        <v>934</v>
      </c>
      <c r="F69" s="138" t="s">
        <v>938</v>
      </c>
      <c r="G69" s="143">
        <f t="shared" si="2"/>
        <v>5703533</v>
      </c>
      <c r="H69" s="159">
        <f>65536+211899+771744+57553+158388+174322+109164+655513+592912+84733+13906+26250+300000+90000+9461+199804</f>
        <v>3521185</v>
      </c>
      <c r="I69" s="159">
        <f>J69</f>
        <v>2182348</v>
      </c>
      <c r="J69" s="159">
        <f>482930+120000+586260+153365+400000+85591+32168+111908+23220+180429+186906-180429</f>
        <v>2182348</v>
      </c>
    </row>
    <row r="70" spans="1:10" ht="87.75" customHeight="1">
      <c r="A70" s="550"/>
      <c r="B70" s="550"/>
      <c r="C70" s="550"/>
      <c r="D70" s="552"/>
      <c r="E70" s="138" t="s">
        <v>936</v>
      </c>
      <c r="F70" s="138" t="s">
        <v>937</v>
      </c>
      <c r="G70" s="143">
        <f>H70</f>
        <v>2158870</v>
      </c>
      <c r="H70" s="159">
        <f>14130+47645-3130-18000+40169+58244+1696191+323621</f>
        <v>2158870</v>
      </c>
      <c r="I70" s="159"/>
      <c r="J70" s="160"/>
    </row>
    <row r="71" spans="1:10" ht="83.25" customHeight="1">
      <c r="A71" s="536" t="s">
        <v>549</v>
      </c>
      <c r="B71" s="536" t="s">
        <v>440</v>
      </c>
      <c r="C71" s="536" t="s">
        <v>550</v>
      </c>
      <c r="D71" s="544" t="s">
        <v>551</v>
      </c>
      <c r="E71" s="138" t="s">
        <v>936</v>
      </c>
      <c r="F71" s="138" t="s">
        <v>937</v>
      </c>
      <c r="G71" s="143">
        <f>H71</f>
        <v>10392</v>
      </c>
      <c r="H71" s="159">
        <f>1392+9000</f>
        <v>10392</v>
      </c>
      <c r="I71" s="159"/>
      <c r="J71" s="160"/>
    </row>
    <row r="72" spans="1:10" ht="57.75" customHeight="1">
      <c r="A72" s="546"/>
      <c r="B72" s="546"/>
      <c r="C72" s="546"/>
      <c r="D72" s="548"/>
      <c r="E72" s="138" t="s">
        <v>934</v>
      </c>
      <c r="F72" s="138" t="s">
        <v>938</v>
      </c>
      <c r="G72" s="143">
        <f>H72</f>
        <v>94364</v>
      </c>
      <c r="H72" s="159">
        <v>94364</v>
      </c>
      <c r="I72" s="159"/>
      <c r="J72" s="160"/>
    </row>
    <row r="73" spans="1:10" ht="75.75" customHeight="1">
      <c r="A73" s="536" t="s">
        <v>559</v>
      </c>
      <c r="B73" s="536" t="s">
        <v>560</v>
      </c>
      <c r="C73" s="536" t="s">
        <v>554</v>
      </c>
      <c r="D73" s="544" t="s">
        <v>561</v>
      </c>
      <c r="E73" s="138" t="s">
        <v>934</v>
      </c>
      <c r="F73" s="138" t="s">
        <v>938</v>
      </c>
      <c r="G73" s="143">
        <f>H73+I73</f>
        <v>38200</v>
      </c>
      <c r="H73" s="159"/>
      <c r="I73" s="159">
        <f>J73</f>
        <v>38200</v>
      </c>
      <c r="J73" s="159">
        <v>38200</v>
      </c>
    </row>
    <row r="74" spans="1:10" ht="60.75" customHeight="1" hidden="1">
      <c r="A74" s="537"/>
      <c r="B74" s="537"/>
      <c r="C74" s="537"/>
      <c r="D74" s="545"/>
      <c r="E74" s="138" t="s">
        <v>942</v>
      </c>
      <c r="F74" s="158" t="s">
        <v>943</v>
      </c>
      <c r="G74" s="143">
        <f>H74</f>
        <v>0</v>
      </c>
      <c r="H74" s="159">
        <f>204166-204166</f>
        <v>0</v>
      </c>
      <c r="I74" s="159"/>
      <c r="J74" s="160"/>
    </row>
    <row r="75" spans="1:10" ht="71.25" customHeight="1">
      <c r="A75" s="144" t="s">
        <v>563</v>
      </c>
      <c r="B75" s="144" t="s">
        <v>564</v>
      </c>
      <c r="C75" s="144" t="s">
        <v>554</v>
      </c>
      <c r="D75" s="163" t="s">
        <v>565</v>
      </c>
      <c r="E75" s="137" t="s">
        <v>905</v>
      </c>
      <c r="F75" s="138" t="s">
        <v>108</v>
      </c>
      <c r="G75" s="143">
        <f>H75+I75</f>
        <v>90200</v>
      </c>
      <c r="H75" s="159">
        <v>90200</v>
      </c>
      <c r="I75" s="159"/>
      <c r="J75" s="160"/>
    </row>
    <row r="76" spans="1:10" ht="70.5" customHeight="1">
      <c r="A76" s="144" t="s">
        <v>104</v>
      </c>
      <c r="B76" s="144" t="s">
        <v>105</v>
      </c>
      <c r="C76" s="144" t="s">
        <v>554</v>
      </c>
      <c r="D76" s="407" t="s">
        <v>106</v>
      </c>
      <c r="E76" s="138" t="s">
        <v>942</v>
      </c>
      <c r="F76" s="138" t="s">
        <v>326</v>
      </c>
      <c r="G76" s="143">
        <f>H76</f>
        <v>204166</v>
      </c>
      <c r="H76" s="159">
        <f>204166</f>
        <v>204166</v>
      </c>
      <c r="I76" s="159"/>
      <c r="J76" s="160"/>
    </row>
    <row r="77" spans="1:10" ht="56.25" customHeight="1">
      <c r="A77" s="536" t="s">
        <v>569</v>
      </c>
      <c r="B77" s="536" t="s">
        <v>570</v>
      </c>
      <c r="C77" s="536" t="s">
        <v>571</v>
      </c>
      <c r="D77" s="544" t="s">
        <v>572</v>
      </c>
      <c r="E77" s="138" t="s">
        <v>934</v>
      </c>
      <c r="F77" s="138" t="s">
        <v>938</v>
      </c>
      <c r="G77" s="143">
        <f>H77+I77</f>
        <v>100411</v>
      </c>
      <c r="H77" s="159">
        <f>60000+40411</f>
        <v>100411</v>
      </c>
      <c r="I77" s="159"/>
      <c r="J77" s="160"/>
    </row>
    <row r="78" spans="1:10" ht="69.75" customHeight="1">
      <c r="A78" s="537"/>
      <c r="B78" s="537"/>
      <c r="C78" s="537"/>
      <c r="D78" s="545"/>
      <c r="E78" s="138" t="s">
        <v>944</v>
      </c>
      <c r="F78" s="138" t="s">
        <v>937</v>
      </c>
      <c r="G78" s="143">
        <f>H78</f>
        <v>9666</v>
      </c>
      <c r="H78" s="159">
        <f>3716+2600+3000+350</f>
        <v>9666</v>
      </c>
      <c r="I78" s="159"/>
      <c r="J78" s="160"/>
    </row>
    <row r="79" spans="1:10" ht="37.5" customHeight="1">
      <c r="A79" s="134" t="s">
        <v>579</v>
      </c>
      <c r="B79" s="134" t="s">
        <v>580</v>
      </c>
      <c r="C79" s="134" t="s">
        <v>480</v>
      </c>
      <c r="D79" s="209" t="s">
        <v>581</v>
      </c>
      <c r="E79" s="558" t="s">
        <v>934</v>
      </c>
      <c r="F79" s="558" t="s">
        <v>938</v>
      </c>
      <c r="G79" s="172">
        <f>H79+I79</f>
        <v>92295</v>
      </c>
      <c r="H79" s="181"/>
      <c r="I79" s="181">
        <f>J79</f>
        <v>92295</v>
      </c>
      <c r="J79" s="181">
        <f>720022+37820+51235-716782</f>
        <v>92295</v>
      </c>
    </row>
    <row r="80" spans="1:10" ht="57.75" customHeight="1" hidden="1">
      <c r="A80" s="144" t="s">
        <v>24</v>
      </c>
      <c r="B80" s="144" t="s">
        <v>485</v>
      </c>
      <c r="C80" s="134" t="s">
        <v>486</v>
      </c>
      <c r="D80" s="142" t="s">
        <v>487</v>
      </c>
      <c r="E80" s="559"/>
      <c r="F80" s="559"/>
      <c r="G80" s="143">
        <f>H80+I80</f>
        <v>0</v>
      </c>
      <c r="H80" s="159"/>
      <c r="I80" s="159">
        <f>J80</f>
        <v>0</v>
      </c>
      <c r="J80" s="159">
        <f>597771-400000-197771</f>
        <v>0</v>
      </c>
    </row>
    <row r="81" spans="1:10" ht="70.5" customHeight="1" thickBot="1">
      <c r="A81" s="153" t="s">
        <v>21</v>
      </c>
      <c r="B81" s="153" t="s">
        <v>22</v>
      </c>
      <c r="C81" s="153" t="s">
        <v>486</v>
      </c>
      <c r="D81" s="173" t="s">
        <v>23</v>
      </c>
      <c r="E81" s="560"/>
      <c r="F81" s="560"/>
      <c r="G81" s="157">
        <f>H81+I81</f>
        <v>2234</v>
      </c>
      <c r="H81" s="164"/>
      <c r="I81" s="164">
        <f>J81</f>
        <v>2234</v>
      </c>
      <c r="J81" s="164">
        <v>2234</v>
      </c>
    </row>
    <row r="82" spans="1:10" ht="52.5" customHeight="1">
      <c r="A82" s="165" t="s">
        <v>582</v>
      </c>
      <c r="B82" s="166"/>
      <c r="C82" s="167"/>
      <c r="D82" s="168" t="s">
        <v>583</v>
      </c>
      <c r="E82" s="169"/>
      <c r="F82" s="169"/>
      <c r="G82" s="170">
        <f>G83</f>
        <v>5113265</v>
      </c>
      <c r="H82" s="170">
        <f>H83</f>
        <v>4960425</v>
      </c>
      <c r="I82" s="170">
        <f>I83</f>
        <v>152840</v>
      </c>
      <c r="J82" s="170">
        <f>J83</f>
        <v>152840</v>
      </c>
    </row>
    <row r="83" spans="1:10" ht="49.5" customHeight="1">
      <c r="A83" s="128" t="s">
        <v>584</v>
      </c>
      <c r="B83" s="129"/>
      <c r="C83" s="130"/>
      <c r="D83" s="131" t="s">
        <v>583</v>
      </c>
      <c r="E83" s="141"/>
      <c r="F83" s="141"/>
      <c r="G83" s="146">
        <f>H83+I83</f>
        <v>5113265</v>
      </c>
      <c r="H83" s="146">
        <f>SUM(H84:H97)</f>
        <v>4960425</v>
      </c>
      <c r="I83" s="146">
        <f>SUM(I84:I97)</f>
        <v>152840</v>
      </c>
      <c r="J83" s="146">
        <f>SUM(J84:J97)</f>
        <v>152840</v>
      </c>
    </row>
    <row r="84" spans="1:10" ht="77.25" customHeight="1">
      <c r="A84" s="144" t="s">
        <v>585</v>
      </c>
      <c r="B84" s="145" t="s">
        <v>536</v>
      </c>
      <c r="C84" s="130" t="s">
        <v>389</v>
      </c>
      <c r="D84" s="137" t="s">
        <v>945</v>
      </c>
      <c r="E84" s="141" t="s">
        <v>31</v>
      </c>
      <c r="F84" s="138" t="s">
        <v>119</v>
      </c>
      <c r="G84" s="139">
        <f>H84+I84</f>
        <v>152840</v>
      </c>
      <c r="H84" s="139"/>
      <c r="I84" s="139">
        <f>J84</f>
        <v>152840</v>
      </c>
      <c r="J84" s="139">
        <f>115890+36950</f>
        <v>152840</v>
      </c>
    </row>
    <row r="85" spans="1:10" ht="46.5" customHeight="1">
      <c r="A85" s="144" t="s">
        <v>701</v>
      </c>
      <c r="B85" s="144" t="s">
        <v>702</v>
      </c>
      <c r="C85" s="144" t="s">
        <v>433</v>
      </c>
      <c r="D85" s="142" t="s">
        <v>703</v>
      </c>
      <c r="E85" s="558" t="s">
        <v>946</v>
      </c>
      <c r="F85" s="556" t="s">
        <v>913</v>
      </c>
      <c r="G85" s="139">
        <f>H85</f>
        <v>17200</v>
      </c>
      <c r="H85" s="139">
        <v>17200</v>
      </c>
      <c r="I85" s="139"/>
      <c r="J85" s="133"/>
    </row>
    <row r="86" spans="1:10" ht="60.75" customHeight="1">
      <c r="A86" s="144" t="s">
        <v>704</v>
      </c>
      <c r="B86" s="144" t="s">
        <v>705</v>
      </c>
      <c r="C86" s="144" t="s">
        <v>605</v>
      </c>
      <c r="D86" s="142" t="s">
        <v>642</v>
      </c>
      <c r="E86" s="571"/>
      <c r="F86" s="571"/>
      <c r="G86" s="139">
        <f>H86</f>
        <v>203400</v>
      </c>
      <c r="H86" s="139">
        <v>203400</v>
      </c>
      <c r="I86" s="139"/>
      <c r="J86" s="133"/>
    </row>
    <row r="87" spans="1:10" ht="78" customHeight="1">
      <c r="A87" s="144" t="s">
        <v>706</v>
      </c>
      <c r="B87" s="144" t="s">
        <v>638</v>
      </c>
      <c r="C87" s="144" t="s">
        <v>605</v>
      </c>
      <c r="D87" s="142" t="s">
        <v>645</v>
      </c>
      <c r="E87" s="571"/>
      <c r="F87" s="571"/>
      <c r="G87" s="139">
        <f>H87</f>
        <v>2300000</v>
      </c>
      <c r="H87" s="139">
        <f>2000000+300000</f>
        <v>2300000</v>
      </c>
      <c r="I87" s="146"/>
      <c r="J87" s="133"/>
    </row>
    <row r="88" spans="1:10" ht="72.75" customHeight="1">
      <c r="A88" s="144" t="s">
        <v>707</v>
      </c>
      <c r="B88" s="144" t="s">
        <v>644</v>
      </c>
      <c r="C88" s="144" t="s">
        <v>605</v>
      </c>
      <c r="D88" s="142" t="s">
        <v>648</v>
      </c>
      <c r="E88" s="545"/>
      <c r="F88" s="545"/>
      <c r="G88" s="139">
        <f>H88</f>
        <v>136100</v>
      </c>
      <c r="H88" s="139">
        <v>136100</v>
      </c>
      <c r="I88" s="146"/>
      <c r="J88" s="133"/>
    </row>
    <row r="89" spans="1:10" ht="63" customHeight="1">
      <c r="A89" s="144" t="s">
        <v>753</v>
      </c>
      <c r="B89" s="144" t="s">
        <v>754</v>
      </c>
      <c r="C89" s="144" t="s">
        <v>426</v>
      </c>
      <c r="D89" s="137" t="s">
        <v>947</v>
      </c>
      <c r="E89" s="138" t="s">
        <v>948</v>
      </c>
      <c r="F89" s="138" t="s">
        <v>120</v>
      </c>
      <c r="G89" s="143">
        <v>3000</v>
      </c>
      <c r="H89" s="143">
        <v>3000</v>
      </c>
      <c r="I89" s="146"/>
      <c r="J89" s="133"/>
    </row>
    <row r="90" spans="1:10" s="115" customFormat="1" ht="87.75" customHeight="1">
      <c r="A90" s="144" t="s">
        <v>756</v>
      </c>
      <c r="B90" s="144" t="s">
        <v>757</v>
      </c>
      <c r="C90" s="144" t="s">
        <v>539</v>
      </c>
      <c r="D90" s="137" t="s">
        <v>949</v>
      </c>
      <c r="E90" s="558" t="s">
        <v>946</v>
      </c>
      <c r="F90" s="580" t="s">
        <v>913</v>
      </c>
      <c r="G90" s="143">
        <f aca="true" t="shared" si="3" ref="G90:G96">H90</f>
        <v>480447</v>
      </c>
      <c r="H90" s="139">
        <f>384957+95490</f>
        <v>480447</v>
      </c>
      <c r="I90" s="146"/>
      <c r="J90" s="133"/>
    </row>
    <row r="91" spans="1:10" ht="82.5" customHeight="1">
      <c r="A91" s="144" t="s">
        <v>759</v>
      </c>
      <c r="B91" s="144" t="s">
        <v>760</v>
      </c>
      <c r="C91" s="144" t="s">
        <v>590</v>
      </c>
      <c r="D91" s="142" t="s">
        <v>950</v>
      </c>
      <c r="E91" s="571"/>
      <c r="F91" s="562"/>
      <c r="G91" s="139">
        <f t="shared" si="3"/>
        <v>266000</v>
      </c>
      <c r="H91" s="139">
        <v>266000</v>
      </c>
      <c r="I91" s="146"/>
      <c r="J91" s="133"/>
    </row>
    <row r="92" spans="1:10" ht="36" customHeight="1">
      <c r="A92" s="144" t="s">
        <v>763</v>
      </c>
      <c r="B92" s="144" t="s">
        <v>432</v>
      </c>
      <c r="C92" s="144" t="s">
        <v>433</v>
      </c>
      <c r="D92" s="142" t="s">
        <v>434</v>
      </c>
      <c r="E92" s="571"/>
      <c r="F92" s="562"/>
      <c r="G92" s="139">
        <f t="shared" si="3"/>
        <v>268601</v>
      </c>
      <c r="H92" s="139">
        <v>268601</v>
      </c>
      <c r="I92" s="146"/>
      <c r="J92" s="133"/>
    </row>
    <row r="93" spans="1:10" ht="63" customHeight="1">
      <c r="A93" s="134" t="s">
        <v>764</v>
      </c>
      <c r="B93" s="134" t="s">
        <v>765</v>
      </c>
      <c r="C93" s="134" t="s">
        <v>433</v>
      </c>
      <c r="D93" s="150" t="s">
        <v>951</v>
      </c>
      <c r="E93" s="577"/>
      <c r="F93" s="141" t="s">
        <v>913</v>
      </c>
      <c r="G93" s="139">
        <f t="shared" si="3"/>
        <v>300000</v>
      </c>
      <c r="H93" s="139">
        <v>300000</v>
      </c>
      <c r="I93" s="146"/>
      <c r="J93" s="133"/>
    </row>
    <row r="94" spans="1:10" ht="66.75" customHeight="1">
      <c r="A94" s="144" t="s">
        <v>307</v>
      </c>
      <c r="B94" s="144" t="s">
        <v>49</v>
      </c>
      <c r="C94" s="144" t="s">
        <v>50</v>
      </c>
      <c r="D94" s="142" t="s">
        <v>51</v>
      </c>
      <c r="E94" s="220" t="s">
        <v>53</v>
      </c>
      <c r="F94" s="141" t="s">
        <v>54</v>
      </c>
      <c r="G94" s="139">
        <f>H94+I94</f>
        <v>13819</v>
      </c>
      <c r="H94" s="139">
        <f>13819</f>
        <v>13819</v>
      </c>
      <c r="I94" s="146"/>
      <c r="J94" s="133"/>
    </row>
    <row r="95" spans="1:10" ht="69.75" customHeight="1">
      <c r="A95" s="144" t="s">
        <v>771</v>
      </c>
      <c r="B95" s="144" t="s">
        <v>439</v>
      </c>
      <c r="C95" s="130" t="s">
        <v>440</v>
      </c>
      <c r="D95" s="171" t="s">
        <v>952</v>
      </c>
      <c r="E95" s="138" t="s">
        <v>953</v>
      </c>
      <c r="F95" s="141" t="s">
        <v>913</v>
      </c>
      <c r="G95" s="143">
        <f t="shared" si="3"/>
        <v>805816</v>
      </c>
      <c r="H95" s="143">
        <f>791701+14115</f>
        <v>805816</v>
      </c>
      <c r="I95" s="143"/>
      <c r="J95" s="133"/>
    </row>
    <row r="96" spans="1:10" ht="69" customHeight="1">
      <c r="A96" s="144" t="s">
        <v>772</v>
      </c>
      <c r="B96" s="144" t="s">
        <v>510</v>
      </c>
      <c r="C96" s="144" t="s">
        <v>486</v>
      </c>
      <c r="D96" s="142" t="s">
        <v>511</v>
      </c>
      <c r="E96" s="138" t="s">
        <v>954</v>
      </c>
      <c r="F96" s="138" t="s">
        <v>266</v>
      </c>
      <c r="G96" s="143">
        <f t="shared" si="3"/>
        <v>66042</v>
      </c>
      <c r="H96" s="143">
        <f>19210+16392+30440</f>
        <v>66042</v>
      </c>
      <c r="I96" s="143"/>
      <c r="J96" s="133"/>
    </row>
    <row r="97" spans="1:10" ht="63.75" customHeight="1" thickBot="1">
      <c r="A97" s="153" t="s">
        <v>773</v>
      </c>
      <c r="B97" s="153" t="s">
        <v>774</v>
      </c>
      <c r="C97" s="153" t="s">
        <v>519</v>
      </c>
      <c r="D97" s="173" t="s">
        <v>775</v>
      </c>
      <c r="E97" s="156" t="s">
        <v>955</v>
      </c>
      <c r="F97" s="156" t="s">
        <v>121</v>
      </c>
      <c r="G97" s="174">
        <f>H97</f>
        <v>100000</v>
      </c>
      <c r="H97" s="174">
        <v>100000</v>
      </c>
      <c r="I97" s="157"/>
      <c r="J97" s="376"/>
    </row>
    <row r="98" spans="1:10" ht="44.25" customHeight="1">
      <c r="A98" s="165" t="s">
        <v>776</v>
      </c>
      <c r="B98" s="166"/>
      <c r="C98" s="167"/>
      <c r="D98" s="175" t="s">
        <v>956</v>
      </c>
      <c r="E98" s="149"/>
      <c r="F98" s="149"/>
      <c r="G98" s="176">
        <f>G99</f>
        <v>2840833</v>
      </c>
      <c r="H98" s="176">
        <f>H99</f>
        <v>1466348</v>
      </c>
      <c r="I98" s="176">
        <f>I99</f>
        <v>1374485</v>
      </c>
      <c r="J98" s="176">
        <f>J99</f>
        <v>1374485</v>
      </c>
    </row>
    <row r="99" spans="1:10" ht="38.25" customHeight="1">
      <c r="A99" s="128" t="s">
        <v>778</v>
      </c>
      <c r="B99" s="129"/>
      <c r="C99" s="130"/>
      <c r="D99" s="177" t="s">
        <v>956</v>
      </c>
      <c r="E99" s="142"/>
      <c r="F99" s="142"/>
      <c r="G99" s="133">
        <f>H99+I99</f>
        <v>2840833</v>
      </c>
      <c r="H99" s="133">
        <f>SUM(H100:H107)</f>
        <v>1466348</v>
      </c>
      <c r="I99" s="133">
        <f>SUM(I100:I107)</f>
        <v>1374485</v>
      </c>
      <c r="J99" s="133">
        <f>SUM(J100:J107)</f>
        <v>1374485</v>
      </c>
    </row>
    <row r="100" spans="1:10" ht="69.75" customHeight="1">
      <c r="A100" s="144" t="s">
        <v>957</v>
      </c>
      <c r="B100" s="144" t="s">
        <v>781</v>
      </c>
      <c r="C100" s="144" t="s">
        <v>550</v>
      </c>
      <c r="D100" s="178" t="s">
        <v>958</v>
      </c>
      <c r="E100" s="534" t="s">
        <v>804</v>
      </c>
      <c r="F100" s="534" t="s">
        <v>959</v>
      </c>
      <c r="G100" s="143">
        <f>H100+I100</f>
        <v>46536</v>
      </c>
      <c r="H100" s="143">
        <f>15600+15956</f>
        <v>31556</v>
      </c>
      <c r="I100" s="143">
        <f>J100</f>
        <v>14980</v>
      </c>
      <c r="J100" s="143">
        <f>14980</f>
        <v>14980</v>
      </c>
    </row>
    <row r="101" spans="1:10" ht="19.5" customHeight="1">
      <c r="A101" s="144" t="s">
        <v>783</v>
      </c>
      <c r="B101" s="144" t="s">
        <v>784</v>
      </c>
      <c r="C101" s="144" t="s">
        <v>785</v>
      </c>
      <c r="D101" s="142" t="s">
        <v>786</v>
      </c>
      <c r="E101" s="568"/>
      <c r="F101" s="568"/>
      <c r="G101" s="143">
        <f>H101+I101</f>
        <v>270000</v>
      </c>
      <c r="H101" s="143"/>
      <c r="I101" s="143">
        <f>J101</f>
        <v>270000</v>
      </c>
      <c r="J101" s="143">
        <v>270000</v>
      </c>
    </row>
    <row r="102" spans="1:10" ht="26.25" customHeight="1">
      <c r="A102" s="144" t="s">
        <v>787</v>
      </c>
      <c r="B102" s="144" t="s">
        <v>788</v>
      </c>
      <c r="C102" s="144" t="s">
        <v>785</v>
      </c>
      <c r="D102" s="142" t="s">
        <v>789</v>
      </c>
      <c r="E102" s="568"/>
      <c r="F102" s="568"/>
      <c r="G102" s="143">
        <f>H102+I102</f>
        <v>484544</v>
      </c>
      <c r="H102" s="143">
        <v>7102</v>
      </c>
      <c r="I102" s="143">
        <f>J102</f>
        <v>477442</v>
      </c>
      <c r="J102" s="143">
        <v>477442</v>
      </c>
    </row>
    <row r="103" spans="1:10" ht="48.75" customHeight="1">
      <c r="A103" s="144" t="s">
        <v>790</v>
      </c>
      <c r="B103" s="144" t="s">
        <v>791</v>
      </c>
      <c r="C103" s="144" t="s">
        <v>792</v>
      </c>
      <c r="D103" s="178" t="s">
        <v>960</v>
      </c>
      <c r="E103" s="535"/>
      <c r="F103" s="535"/>
      <c r="G103" s="143">
        <f>H103+I103</f>
        <v>738403</v>
      </c>
      <c r="H103" s="143">
        <f>17503+15444+9092+35845+68956</f>
        <v>146840</v>
      </c>
      <c r="I103" s="143">
        <f>J103</f>
        <v>591563</v>
      </c>
      <c r="J103" s="143">
        <v>591563</v>
      </c>
    </row>
    <row r="104" spans="1:10" s="179" customFormat="1" ht="89.25" customHeight="1">
      <c r="A104" s="547" t="s">
        <v>801</v>
      </c>
      <c r="B104" s="543">
        <v>4082</v>
      </c>
      <c r="C104" s="561" t="s">
        <v>799</v>
      </c>
      <c r="D104" s="578" t="s">
        <v>803</v>
      </c>
      <c r="E104" s="137" t="s">
        <v>804</v>
      </c>
      <c r="F104" s="137" t="s">
        <v>961</v>
      </c>
      <c r="G104" s="159">
        <f>H104</f>
        <v>1057281</v>
      </c>
      <c r="H104" s="124">
        <f>616431+50000-50000+200000+56000+184850</f>
        <v>1057281</v>
      </c>
      <c r="I104" s="124"/>
      <c r="J104" s="377"/>
    </row>
    <row r="105" spans="1:10" s="179" customFormat="1" ht="68.25" customHeight="1">
      <c r="A105" s="536"/>
      <c r="B105" s="573"/>
      <c r="C105" s="574"/>
      <c r="D105" s="579"/>
      <c r="E105" s="136" t="s">
        <v>805</v>
      </c>
      <c r="F105" s="148" t="s">
        <v>116</v>
      </c>
      <c r="G105" s="181">
        <f>H105</f>
        <v>143569</v>
      </c>
      <c r="H105" s="180">
        <v>143569</v>
      </c>
      <c r="I105" s="180"/>
      <c r="J105" s="378"/>
    </row>
    <row r="106" spans="1:10" s="179" customFormat="1" ht="78" customHeight="1">
      <c r="A106" s="144" t="s">
        <v>806</v>
      </c>
      <c r="B106" s="126">
        <v>7622</v>
      </c>
      <c r="C106" s="130" t="s">
        <v>808</v>
      </c>
      <c r="D106" s="171" t="s">
        <v>962</v>
      </c>
      <c r="E106" s="137" t="s">
        <v>804</v>
      </c>
      <c r="F106" s="137" t="s">
        <v>961</v>
      </c>
      <c r="G106" s="159">
        <f>H106+I106</f>
        <v>80000</v>
      </c>
      <c r="H106" s="124">
        <f>50000+30000</f>
        <v>80000</v>
      </c>
      <c r="I106" s="124"/>
      <c r="J106" s="377"/>
    </row>
    <row r="107" spans="1:10" s="179" customFormat="1" ht="50.25" thickBot="1">
      <c r="A107" s="153" t="s">
        <v>308</v>
      </c>
      <c r="B107" s="153" t="s">
        <v>510</v>
      </c>
      <c r="C107" s="153" t="s">
        <v>486</v>
      </c>
      <c r="D107" s="173" t="s">
        <v>511</v>
      </c>
      <c r="E107" s="155" t="s">
        <v>804</v>
      </c>
      <c r="F107" s="155" t="s">
        <v>961</v>
      </c>
      <c r="G107" s="164">
        <f>H107+I107</f>
        <v>20500</v>
      </c>
      <c r="H107" s="211"/>
      <c r="I107" s="387">
        <f>J107</f>
        <v>20500</v>
      </c>
      <c r="J107" s="387">
        <f>20500</f>
        <v>20500</v>
      </c>
    </row>
    <row r="108" spans="1:10" ht="49.5">
      <c r="A108" s="165" t="s">
        <v>810</v>
      </c>
      <c r="B108" s="166"/>
      <c r="C108" s="167"/>
      <c r="D108" s="168" t="s">
        <v>811</v>
      </c>
      <c r="E108" s="158"/>
      <c r="F108" s="158"/>
      <c r="G108" s="176">
        <f>G109</f>
        <v>8857249</v>
      </c>
      <c r="H108" s="176">
        <f>H109</f>
        <v>5947754</v>
      </c>
      <c r="I108" s="176">
        <f>I109</f>
        <v>2909495</v>
      </c>
      <c r="J108" s="176">
        <f>J109</f>
        <v>2909495</v>
      </c>
    </row>
    <row r="109" spans="1:10" ht="49.5">
      <c r="A109" s="128" t="s">
        <v>812</v>
      </c>
      <c r="B109" s="129"/>
      <c r="C109" s="130"/>
      <c r="D109" s="131" t="s">
        <v>811</v>
      </c>
      <c r="E109" s="138"/>
      <c r="F109" s="138"/>
      <c r="G109" s="133">
        <f>SUM(G110:G123)</f>
        <v>8857249</v>
      </c>
      <c r="H109" s="133">
        <f>SUM(H110:H123)</f>
        <v>5947754</v>
      </c>
      <c r="I109" s="133">
        <f>SUM(I110:I123)</f>
        <v>2909495</v>
      </c>
      <c r="J109" s="133">
        <f>SUM(J110:J123)</f>
        <v>2909495</v>
      </c>
    </row>
    <row r="110" spans="1:10" ht="49.5">
      <c r="A110" s="144" t="s">
        <v>813</v>
      </c>
      <c r="B110" s="144" t="s">
        <v>536</v>
      </c>
      <c r="C110" s="144" t="s">
        <v>389</v>
      </c>
      <c r="D110" s="142" t="s">
        <v>537</v>
      </c>
      <c r="E110" s="137" t="s">
        <v>905</v>
      </c>
      <c r="F110" s="138" t="s">
        <v>108</v>
      </c>
      <c r="G110" s="143">
        <f>H110+I110</f>
        <v>12000</v>
      </c>
      <c r="H110" s="143"/>
      <c r="I110" s="143">
        <v>12000</v>
      </c>
      <c r="J110" s="143">
        <v>12000</v>
      </c>
    </row>
    <row r="111" spans="1:10" ht="49.5">
      <c r="A111" s="144" t="s">
        <v>817</v>
      </c>
      <c r="B111" s="144" t="s">
        <v>818</v>
      </c>
      <c r="C111" s="130" t="s">
        <v>426</v>
      </c>
      <c r="D111" s="137" t="s">
        <v>819</v>
      </c>
      <c r="E111" s="137" t="s">
        <v>963</v>
      </c>
      <c r="F111" s="137" t="s">
        <v>964</v>
      </c>
      <c r="G111" s="159">
        <f>H111+I111</f>
        <v>70700</v>
      </c>
      <c r="H111" s="139">
        <v>70700</v>
      </c>
      <c r="I111" s="182"/>
      <c r="J111" s="133"/>
    </row>
    <row r="112" spans="1:10" ht="84.75" customHeight="1">
      <c r="A112" s="144" t="s">
        <v>820</v>
      </c>
      <c r="B112" s="144" t="s">
        <v>821</v>
      </c>
      <c r="C112" s="130" t="s">
        <v>426</v>
      </c>
      <c r="D112" s="137" t="s">
        <v>965</v>
      </c>
      <c r="E112" s="137" t="s">
        <v>940</v>
      </c>
      <c r="F112" s="137" t="s">
        <v>941</v>
      </c>
      <c r="G112" s="159">
        <f aca="true" t="shared" si="4" ref="G112:G123">H112+I112</f>
        <v>199000</v>
      </c>
      <c r="H112" s="139">
        <v>199000</v>
      </c>
      <c r="I112" s="182"/>
      <c r="J112" s="133"/>
    </row>
    <row r="113" spans="1:10" ht="49.5">
      <c r="A113" s="554">
        <v>1115011</v>
      </c>
      <c r="B113" s="554">
        <v>5011</v>
      </c>
      <c r="C113" s="561" t="s">
        <v>571</v>
      </c>
      <c r="D113" s="552" t="s">
        <v>966</v>
      </c>
      <c r="E113" s="137" t="s">
        <v>967</v>
      </c>
      <c r="F113" s="137" t="s">
        <v>968</v>
      </c>
      <c r="G113" s="159">
        <f t="shared" si="4"/>
        <v>315640</v>
      </c>
      <c r="H113" s="139">
        <f>303040+12600</f>
        <v>315640</v>
      </c>
      <c r="I113" s="182"/>
      <c r="J113" s="133"/>
    </row>
    <row r="114" spans="1:10" ht="49.5">
      <c r="A114" s="554"/>
      <c r="B114" s="554"/>
      <c r="C114" s="561"/>
      <c r="D114" s="552"/>
      <c r="E114" s="137" t="s">
        <v>805</v>
      </c>
      <c r="F114" s="138" t="s">
        <v>116</v>
      </c>
      <c r="G114" s="159">
        <f t="shared" si="4"/>
        <v>136960</v>
      </c>
      <c r="H114" s="139">
        <v>136960</v>
      </c>
      <c r="I114" s="139"/>
      <c r="J114" s="133"/>
    </row>
    <row r="115" spans="1:10" s="244" customFormat="1" ht="49.5">
      <c r="A115" s="144" t="s">
        <v>830</v>
      </c>
      <c r="B115" s="144" t="s">
        <v>570</v>
      </c>
      <c r="C115" s="144" t="s">
        <v>571</v>
      </c>
      <c r="D115" s="142" t="s">
        <v>572</v>
      </c>
      <c r="E115" s="137" t="s">
        <v>967</v>
      </c>
      <c r="F115" s="137" t="s">
        <v>968</v>
      </c>
      <c r="G115" s="159">
        <f>H115+I115</f>
        <v>12400</v>
      </c>
      <c r="H115" s="139"/>
      <c r="I115" s="139">
        <f>J115</f>
        <v>12400</v>
      </c>
      <c r="J115" s="143">
        <f>12400</f>
        <v>12400</v>
      </c>
    </row>
    <row r="116" spans="1:10" ht="49.5">
      <c r="A116" s="147">
        <v>1115041</v>
      </c>
      <c r="B116" s="147">
        <v>5041</v>
      </c>
      <c r="C116" s="130" t="s">
        <v>571</v>
      </c>
      <c r="D116" s="137" t="s">
        <v>836</v>
      </c>
      <c r="E116" s="137" t="s">
        <v>969</v>
      </c>
      <c r="F116" s="137" t="s">
        <v>0</v>
      </c>
      <c r="G116" s="159">
        <f t="shared" si="4"/>
        <v>4568377</v>
      </c>
      <c r="H116" s="139">
        <f>3342975+52842</f>
        <v>3395817</v>
      </c>
      <c r="I116" s="139">
        <f>J116</f>
        <v>1172560</v>
      </c>
      <c r="J116" s="143">
        <f>18000+115000+54963+24000+723958+150000+70000+16639</f>
        <v>1172560</v>
      </c>
    </row>
    <row r="117" spans="1:10" ht="49.5">
      <c r="A117" s="554">
        <v>1115062</v>
      </c>
      <c r="B117" s="554">
        <v>5062</v>
      </c>
      <c r="C117" s="561" t="s">
        <v>571</v>
      </c>
      <c r="D117" s="552" t="s">
        <v>1</v>
      </c>
      <c r="E117" s="137" t="s">
        <v>2</v>
      </c>
      <c r="F117" s="138" t="s">
        <v>122</v>
      </c>
      <c r="G117" s="159">
        <f t="shared" si="4"/>
        <v>1469423</v>
      </c>
      <c r="H117" s="139">
        <f>1284560-14907+199770</f>
        <v>1469423</v>
      </c>
      <c r="I117" s="139"/>
      <c r="J117" s="133"/>
    </row>
    <row r="118" spans="1:10" ht="49.5">
      <c r="A118" s="554"/>
      <c r="B118" s="554"/>
      <c r="C118" s="561"/>
      <c r="D118" s="566"/>
      <c r="E118" s="137" t="s">
        <v>3</v>
      </c>
      <c r="F118" s="137" t="s">
        <v>4</v>
      </c>
      <c r="G118" s="159">
        <f t="shared" si="4"/>
        <v>50000</v>
      </c>
      <c r="H118" s="139">
        <v>50000</v>
      </c>
      <c r="I118" s="139"/>
      <c r="J118" s="133"/>
    </row>
    <row r="119" spans="1:10" ht="49.5">
      <c r="A119" s="554"/>
      <c r="B119" s="554"/>
      <c r="C119" s="561"/>
      <c r="D119" s="566"/>
      <c r="E119" s="137" t="s">
        <v>5</v>
      </c>
      <c r="F119" s="137" t="s">
        <v>968</v>
      </c>
      <c r="G119" s="159">
        <f t="shared" si="4"/>
        <v>189000</v>
      </c>
      <c r="H119" s="139">
        <v>189000</v>
      </c>
      <c r="I119" s="139"/>
      <c r="J119" s="133"/>
    </row>
    <row r="120" spans="1:10" ht="49.5">
      <c r="A120" s="555"/>
      <c r="B120" s="555"/>
      <c r="C120" s="572"/>
      <c r="D120" s="567"/>
      <c r="E120" s="137" t="s">
        <v>268</v>
      </c>
      <c r="F120" s="137" t="s">
        <v>269</v>
      </c>
      <c r="G120" s="159">
        <f t="shared" si="4"/>
        <v>50000</v>
      </c>
      <c r="H120" s="139">
        <v>50000</v>
      </c>
      <c r="I120" s="139"/>
      <c r="J120" s="133"/>
    </row>
    <row r="121" spans="1:10" ht="49.5">
      <c r="A121" s="423" t="s">
        <v>327</v>
      </c>
      <c r="B121" s="144" t="s">
        <v>485</v>
      </c>
      <c r="C121" s="144" t="s">
        <v>486</v>
      </c>
      <c r="D121" s="142" t="s">
        <v>487</v>
      </c>
      <c r="E121" s="136" t="s">
        <v>969</v>
      </c>
      <c r="F121" s="136" t="s">
        <v>0</v>
      </c>
      <c r="G121" s="162">
        <f>H121+I121</f>
        <v>1712535</v>
      </c>
      <c r="H121" s="326"/>
      <c r="I121" s="326">
        <f>J121</f>
        <v>1712535</v>
      </c>
      <c r="J121" s="411">
        <f>1712535</f>
        <v>1712535</v>
      </c>
    </row>
    <row r="122" spans="1:10" ht="71.25" customHeight="1">
      <c r="A122" s="581">
        <v>1117693</v>
      </c>
      <c r="B122" s="581">
        <v>7693</v>
      </c>
      <c r="C122" s="583" t="s">
        <v>486</v>
      </c>
      <c r="D122" s="544" t="s">
        <v>511</v>
      </c>
      <c r="E122" s="137" t="s">
        <v>926</v>
      </c>
      <c r="F122" s="138" t="s">
        <v>108</v>
      </c>
      <c r="G122" s="159">
        <f t="shared" si="4"/>
        <v>55000</v>
      </c>
      <c r="H122" s="139">
        <v>55000</v>
      </c>
      <c r="I122" s="139"/>
      <c r="J122" s="133"/>
    </row>
    <row r="123" spans="1:10" ht="71.25" customHeight="1" thickBot="1">
      <c r="A123" s="582"/>
      <c r="B123" s="582"/>
      <c r="C123" s="584"/>
      <c r="D123" s="585"/>
      <c r="E123" s="140" t="s">
        <v>805</v>
      </c>
      <c r="F123" s="158" t="s">
        <v>116</v>
      </c>
      <c r="G123" s="162">
        <f t="shared" si="4"/>
        <v>16214</v>
      </c>
      <c r="H123" s="326">
        <v>16214</v>
      </c>
      <c r="I123" s="326"/>
      <c r="J123" s="379"/>
    </row>
    <row r="124" spans="1:10" ht="59.25" customHeight="1">
      <c r="A124" s="380" t="s">
        <v>846</v>
      </c>
      <c r="B124" s="213"/>
      <c r="C124" s="213"/>
      <c r="D124" s="214" t="s">
        <v>6</v>
      </c>
      <c r="E124" s="215"/>
      <c r="F124" s="215"/>
      <c r="G124" s="216">
        <f>G125</f>
        <v>404353</v>
      </c>
      <c r="H124" s="216">
        <f>H125</f>
        <v>265178</v>
      </c>
      <c r="I124" s="216">
        <f>I125</f>
        <v>139175</v>
      </c>
      <c r="J124" s="216">
        <f>J125</f>
        <v>139175</v>
      </c>
    </row>
    <row r="125" spans="1:10" ht="52.5" customHeight="1">
      <c r="A125" s="381" t="s">
        <v>848</v>
      </c>
      <c r="B125" s="130"/>
      <c r="C125" s="130"/>
      <c r="D125" s="131" t="s">
        <v>6</v>
      </c>
      <c r="E125" s="137"/>
      <c r="F125" s="137"/>
      <c r="G125" s="160">
        <f>SUM(G126:G128)</f>
        <v>404353</v>
      </c>
      <c r="H125" s="160">
        <f>SUM(H126:H128)</f>
        <v>265178</v>
      </c>
      <c r="I125" s="160">
        <f>SUM(I126:I128)</f>
        <v>139175</v>
      </c>
      <c r="J125" s="160">
        <f>SUM(J126:J128)</f>
        <v>139175</v>
      </c>
    </row>
    <row r="126" spans="1:10" ht="49.5">
      <c r="A126" s="130" t="s">
        <v>849</v>
      </c>
      <c r="B126" s="130" t="s">
        <v>536</v>
      </c>
      <c r="C126" s="412" t="s">
        <v>389</v>
      </c>
      <c r="D126" s="178" t="s">
        <v>945</v>
      </c>
      <c r="E126" s="137" t="s">
        <v>905</v>
      </c>
      <c r="F126" s="138" t="s">
        <v>108</v>
      </c>
      <c r="G126" s="159">
        <f>H126+I126</f>
        <v>27300</v>
      </c>
      <c r="H126" s="160"/>
      <c r="I126" s="159">
        <f>J126</f>
        <v>27300</v>
      </c>
      <c r="J126" s="143">
        <v>27300</v>
      </c>
    </row>
    <row r="127" spans="1:10" ht="66">
      <c r="A127" s="135" t="s">
        <v>25</v>
      </c>
      <c r="B127" s="135" t="s">
        <v>26</v>
      </c>
      <c r="C127" s="134" t="s">
        <v>480</v>
      </c>
      <c r="D127" s="150" t="s">
        <v>27</v>
      </c>
      <c r="E127" s="141" t="s">
        <v>906</v>
      </c>
      <c r="F127" s="138" t="s">
        <v>37</v>
      </c>
      <c r="G127" s="181">
        <f>H127+I127</f>
        <v>111875</v>
      </c>
      <c r="H127" s="185"/>
      <c r="I127" s="181">
        <f>J127</f>
        <v>111875</v>
      </c>
      <c r="J127" s="172">
        <v>111875</v>
      </c>
    </row>
    <row r="128" spans="1:10" ht="55.5" customHeight="1" thickBot="1">
      <c r="A128" s="183" t="s">
        <v>850</v>
      </c>
      <c r="B128" s="153">
        <v>7693</v>
      </c>
      <c r="C128" s="183" t="s">
        <v>486</v>
      </c>
      <c r="D128" s="173" t="s">
        <v>511</v>
      </c>
      <c r="E128" s="155" t="s">
        <v>7</v>
      </c>
      <c r="F128" s="156" t="s">
        <v>123</v>
      </c>
      <c r="G128" s="164">
        <f>H128+I128</f>
        <v>265178</v>
      </c>
      <c r="H128" s="164">
        <v>265178</v>
      </c>
      <c r="I128" s="164"/>
      <c r="J128" s="376"/>
    </row>
    <row r="129" spans="1:10" ht="49.5">
      <c r="A129" s="165" t="s">
        <v>851</v>
      </c>
      <c r="B129" s="165"/>
      <c r="C129" s="165"/>
      <c r="D129" s="186" t="s">
        <v>852</v>
      </c>
      <c r="E129" s="140"/>
      <c r="F129" s="140"/>
      <c r="G129" s="187">
        <f>G130</f>
        <v>22758</v>
      </c>
      <c r="H129" s="187">
        <f>H130</f>
        <v>12758</v>
      </c>
      <c r="I129" s="187">
        <f>I130</f>
        <v>10000</v>
      </c>
      <c r="J129" s="187">
        <f>J130</f>
        <v>10000</v>
      </c>
    </row>
    <row r="130" spans="1:10" ht="49.5">
      <c r="A130" s="128" t="s">
        <v>853</v>
      </c>
      <c r="B130" s="128"/>
      <c r="C130" s="128"/>
      <c r="D130" s="188" t="s">
        <v>852</v>
      </c>
      <c r="E130" s="137"/>
      <c r="F130" s="137"/>
      <c r="G130" s="160">
        <f>H130+I130</f>
        <v>22758</v>
      </c>
      <c r="H130" s="160">
        <f>H131+H132</f>
        <v>12758</v>
      </c>
      <c r="I130" s="160">
        <f>I131</f>
        <v>10000</v>
      </c>
      <c r="J130" s="160">
        <f>J131</f>
        <v>10000</v>
      </c>
    </row>
    <row r="131" spans="1:10" ht="65.25" customHeight="1">
      <c r="A131" s="413" t="s">
        <v>854</v>
      </c>
      <c r="B131" s="413" t="s">
        <v>536</v>
      </c>
      <c r="C131" s="413" t="s">
        <v>389</v>
      </c>
      <c r="D131" s="414" t="s">
        <v>945</v>
      </c>
      <c r="E131" s="588" t="s">
        <v>905</v>
      </c>
      <c r="F131" s="590" t="s">
        <v>108</v>
      </c>
      <c r="G131" s="210">
        <f>H131+I131</f>
        <v>10000</v>
      </c>
      <c r="H131" s="245"/>
      <c r="I131" s="210">
        <f>J131</f>
        <v>10000</v>
      </c>
      <c r="J131" s="382">
        <v>10000</v>
      </c>
    </row>
    <row r="132" spans="1:10" s="244" customFormat="1" ht="34.5" customHeight="1" thickBot="1">
      <c r="A132" s="153" t="s">
        <v>107</v>
      </c>
      <c r="B132" s="153" t="s">
        <v>510</v>
      </c>
      <c r="C132" s="153" t="s">
        <v>486</v>
      </c>
      <c r="D132" s="173" t="s">
        <v>511</v>
      </c>
      <c r="E132" s="589"/>
      <c r="F132" s="585"/>
      <c r="G132" s="246">
        <f>H132+I132</f>
        <v>12758</v>
      </c>
      <c r="H132" s="246">
        <v>12758</v>
      </c>
      <c r="I132" s="246"/>
      <c r="J132" s="383"/>
    </row>
    <row r="133" spans="1:10" ht="49.5">
      <c r="A133" s="165" t="s">
        <v>856</v>
      </c>
      <c r="B133" s="165"/>
      <c r="C133" s="165"/>
      <c r="D133" s="189" t="s">
        <v>857</v>
      </c>
      <c r="E133" s="190"/>
      <c r="F133" s="191"/>
      <c r="G133" s="192">
        <f>G134</f>
        <v>1111702</v>
      </c>
      <c r="H133" s="192">
        <f>H134</f>
        <v>646229</v>
      </c>
      <c r="I133" s="192">
        <f>I134</f>
        <v>465473</v>
      </c>
      <c r="J133" s="192">
        <f>J134</f>
        <v>465473</v>
      </c>
    </row>
    <row r="134" spans="1:10" ht="49.5">
      <c r="A134" s="128" t="s">
        <v>858</v>
      </c>
      <c r="B134" s="128"/>
      <c r="C134" s="128"/>
      <c r="D134" s="193" t="s">
        <v>857</v>
      </c>
      <c r="E134" s="184"/>
      <c r="F134" s="194"/>
      <c r="G134" s="195">
        <f aca="true" t="shared" si="5" ref="G134:G140">H134+I134</f>
        <v>1111702</v>
      </c>
      <c r="H134" s="195">
        <f>SUM(H135:H140)</f>
        <v>646229</v>
      </c>
      <c r="I134" s="195">
        <f>SUM(I135:I140)</f>
        <v>465473</v>
      </c>
      <c r="J134" s="195">
        <f>SUM(J135:J140)</f>
        <v>465473</v>
      </c>
    </row>
    <row r="135" spans="1:10" s="244" customFormat="1" ht="49.5">
      <c r="A135" s="134" t="s">
        <v>242</v>
      </c>
      <c r="B135" s="134" t="s">
        <v>243</v>
      </c>
      <c r="C135" s="134" t="s">
        <v>486</v>
      </c>
      <c r="D135" s="150" t="s">
        <v>244</v>
      </c>
      <c r="E135" s="217" t="s">
        <v>267</v>
      </c>
      <c r="F135" s="248" t="s">
        <v>124</v>
      </c>
      <c r="G135" s="247">
        <f t="shared" si="5"/>
        <v>220000</v>
      </c>
      <c r="H135" s="327"/>
      <c r="I135" s="247">
        <f>J135</f>
        <v>220000</v>
      </c>
      <c r="J135" s="247">
        <f>136000+84000</f>
        <v>220000</v>
      </c>
    </row>
    <row r="136" spans="1:10" s="244" customFormat="1" ht="66">
      <c r="A136" s="536" t="s">
        <v>28</v>
      </c>
      <c r="B136" s="536" t="s">
        <v>510</v>
      </c>
      <c r="C136" s="536" t="s">
        <v>486</v>
      </c>
      <c r="D136" s="544" t="s">
        <v>516</v>
      </c>
      <c r="E136" s="141" t="s">
        <v>906</v>
      </c>
      <c r="F136" s="138" t="s">
        <v>110</v>
      </c>
      <c r="G136" s="247">
        <f t="shared" si="5"/>
        <v>200000</v>
      </c>
      <c r="H136" s="247"/>
      <c r="I136" s="247">
        <f>J136</f>
        <v>200000</v>
      </c>
      <c r="J136" s="247">
        <v>200000</v>
      </c>
    </row>
    <row r="137" spans="1:10" s="244" customFormat="1" ht="51" customHeight="1">
      <c r="A137" s="570"/>
      <c r="B137" s="570"/>
      <c r="C137" s="570"/>
      <c r="D137" s="571"/>
      <c r="E137" s="137" t="s">
        <v>905</v>
      </c>
      <c r="F137" s="138" t="s">
        <v>108</v>
      </c>
      <c r="G137" s="247">
        <f t="shared" si="5"/>
        <v>24307</v>
      </c>
      <c r="H137" s="247">
        <f>24307</f>
        <v>24307</v>
      </c>
      <c r="I137" s="247"/>
      <c r="J137" s="247"/>
    </row>
    <row r="138" spans="1:10" s="244" customFormat="1" ht="56.25" customHeight="1">
      <c r="A138" s="546"/>
      <c r="B138" s="546"/>
      <c r="C138" s="546"/>
      <c r="D138" s="548"/>
      <c r="E138" s="217" t="s">
        <v>267</v>
      </c>
      <c r="F138" s="248" t="s">
        <v>124</v>
      </c>
      <c r="G138" s="247">
        <f t="shared" si="5"/>
        <v>416395</v>
      </c>
      <c r="H138" s="247">
        <v>416395</v>
      </c>
      <c r="I138" s="247"/>
      <c r="J138" s="247"/>
    </row>
    <row r="139" spans="1:10" s="244" customFormat="1" ht="110.25" customHeight="1">
      <c r="A139" s="410" t="s">
        <v>336</v>
      </c>
      <c r="B139" s="134" t="s">
        <v>337</v>
      </c>
      <c r="C139" s="134" t="s">
        <v>338</v>
      </c>
      <c r="D139" s="150" t="s">
        <v>339</v>
      </c>
      <c r="E139" s="422" t="s">
        <v>348</v>
      </c>
      <c r="F139" s="248" t="s">
        <v>346</v>
      </c>
      <c r="G139" s="247">
        <f>H139+I139</f>
        <v>27000</v>
      </c>
      <c r="H139" s="247">
        <v>27000</v>
      </c>
      <c r="I139" s="247"/>
      <c r="J139" s="247"/>
    </row>
    <row r="140" spans="1:10" ht="56.25" customHeight="1" thickBot="1">
      <c r="A140" s="153" t="s">
        <v>860</v>
      </c>
      <c r="B140" s="153" t="s">
        <v>774</v>
      </c>
      <c r="C140" s="153" t="s">
        <v>519</v>
      </c>
      <c r="D140" s="173" t="s">
        <v>775</v>
      </c>
      <c r="E140" s="328" t="s">
        <v>267</v>
      </c>
      <c r="F140" s="329" t="s">
        <v>124</v>
      </c>
      <c r="G140" s="330">
        <f t="shared" si="5"/>
        <v>224000</v>
      </c>
      <c r="H140" s="330">
        <f>200000-10300-11173</f>
        <v>178527</v>
      </c>
      <c r="I140" s="330">
        <f>J140</f>
        <v>45473</v>
      </c>
      <c r="J140" s="384">
        <f>10300+24000+11173</f>
        <v>45473</v>
      </c>
    </row>
    <row r="141" spans="1:10" ht="66">
      <c r="A141" s="165" t="s">
        <v>861</v>
      </c>
      <c r="B141" s="161"/>
      <c r="C141" s="161"/>
      <c r="D141" s="186" t="s">
        <v>862</v>
      </c>
      <c r="E141" s="140"/>
      <c r="F141" s="140"/>
      <c r="G141" s="187">
        <f>G142</f>
        <v>3940535</v>
      </c>
      <c r="H141" s="187">
        <f>H142</f>
        <v>1815926</v>
      </c>
      <c r="I141" s="187">
        <f>I142</f>
        <v>2124609</v>
      </c>
      <c r="J141" s="187">
        <f>J142</f>
        <v>2124609</v>
      </c>
    </row>
    <row r="142" spans="1:10" ht="72" customHeight="1">
      <c r="A142" s="128" t="s">
        <v>863</v>
      </c>
      <c r="B142" s="144"/>
      <c r="C142" s="144"/>
      <c r="D142" s="188" t="s">
        <v>862</v>
      </c>
      <c r="E142" s="137"/>
      <c r="F142" s="137"/>
      <c r="G142" s="160">
        <f>SUM(G143:G152)</f>
        <v>3940535</v>
      </c>
      <c r="H142" s="160">
        <f>SUM(H143:H152)</f>
        <v>1815926</v>
      </c>
      <c r="I142" s="160">
        <f>SUM(I143:I152)</f>
        <v>2124609</v>
      </c>
      <c r="J142" s="160">
        <f>SUM(J144:J152)</f>
        <v>2124609</v>
      </c>
    </row>
    <row r="143" spans="1:10" ht="60" customHeight="1">
      <c r="A143" s="144" t="s">
        <v>256</v>
      </c>
      <c r="B143" s="144" t="s">
        <v>49</v>
      </c>
      <c r="C143" s="144" t="s">
        <v>50</v>
      </c>
      <c r="D143" s="142" t="s">
        <v>52</v>
      </c>
      <c r="E143" s="220" t="s">
        <v>300</v>
      </c>
      <c r="F143" s="141" t="s">
        <v>54</v>
      </c>
      <c r="G143" s="159">
        <f>H143+I143</f>
        <v>13955</v>
      </c>
      <c r="H143" s="159">
        <f>13955</f>
        <v>13955</v>
      </c>
      <c r="I143" s="160"/>
      <c r="J143" s="160"/>
    </row>
    <row r="144" spans="1:10" ht="52.5" customHeight="1">
      <c r="A144" s="144" t="s">
        <v>865</v>
      </c>
      <c r="B144" s="144" t="s">
        <v>456</v>
      </c>
      <c r="C144" s="144" t="s">
        <v>444</v>
      </c>
      <c r="D144" s="142" t="s">
        <v>457</v>
      </c>
      <c r="E144" s="534" t="s">
        <v>8</v>
      </c>
      <c r="F144" s="534" t="s">
        <v>125</v>
      </c>
      <c r="G144" s="159">
        <f aca="true" t="shared" si="6" ref="G144:G151">H144+I144</f>
        <v>50000</v>
      </c>
      <c r="H144" s="159">
        <v>50000</v>
      </c>
      <c r="I144" s="159"/>
      <c r="J144" s="133"/>
    </row>
    <row r="145" spans="1:10" ht="33" customHeight="1">
      <c r="A145" s="144" t="s">
        <v>866</v>
      </c>
      <c r="B145" s="144" t="s">
        <v>462</v>
      </c>
      <c r="C145" s="144" t="s">
        <v>444</v>
      </c>
      <c r="D145" s="142" t="s">
        <v>463</v>
      </c>
      <c r="E145" s="568"/>
      <c r="F145" s="568"/>
      <c r="G145" s="159">
        <f t="shared" si="6"/>
        <v>1466479</v>
      </c>
      <c r="H145" s="159">
        <f>689049+4380+180050+398000+150000</f>
        <v>1421479</v>
      </c>
      <c r="I145" s="159">
        <f>J145</f>
        <v>45000</v>
      </c>
      <c r="J145" s="143">
        <v>45000</v>
      </c>
    </row>
    <row r="146" spans="1:10" ht="33.75" customHeight="1">
      <c r="A146" s="144" t="s">
        <v>867</v>
      </c>
      <c r="B146" s="144" t="s">
        <v>475</v>
      </c>
      <c r="C146" s="144" t="s">
        <v>476</v>
      </c>
      <c r="D146" s="142" t="s">
        <v>477</v>
      </c>
      <c r="E146" s="568"/>
      <c r="F146" s="568"/>
      <c r="G146" s="159">
        <f t="shared" si="6"/>
        <v>47992</v>
      </c>
      <c r="H146" s="159">
        <f>45000+2922+70</f>
        <v>47992</v>
      </c>
      <c r="I146" s="159"/>
      <c r="J146" s="133"/>
    </row>
    <row r="147" spans="1:10" s="244" customFormat="1" ht="48.75" customHeight="1">
      <c r="A147" s="144" t="s">
        <v>257</v>
      </c>
      <c r="B147" s="134" t="s">
        <v>26</v>
      </c>
      <c r="C147" s="134" t="s">
        <v>480</v>
      </c>
      <c r="D147" s="150" t="s">
        <v>27</v>
      </c>
      <c r="E147" s="568"/>
      <c r="F147" s="568"/>
      <c r="G147" s="159">
        <f>I147+H147</f>
        <v>85522</v>
      </c>
      <c r="H147" s="159"/>
      <c r="I147" s="159">
        <f aca="true" t="shared" si="7" ref="I147:I152">J147</f>
        <v>85522</v>
      </c>
      <c r="J147" s="143">
        <f>85522</f>
        <v>85522</v>
      </c>
    </row>
    <row r="148" spans="1:10" ht="48.75" customHeight="1">
      <c r="A148" s="144" t="s">
        <v>868</v>
      </c>
      <c r="B148" s="144" t="s">
        <v>483</v>
      </c>
      <c r="C148" s="144" t="s">
        <v>480</v>
      </c>
      <c r="D148" s="142" t="s">
        <v>899</v>
      </c>
      <c r="E148" s="568"/>
      <c r="F148" s="568"/>
      <c r="G148" s="159">
        <f t="shared" si="6"/>
        <v>1036061</v>
      </c>
      <c r="H148" s="159"/>
      <c r="I148" s="159">
        <f t="shared" si="7"/>
        <v>1036061</v>
      </c>
      <c r="J148" s="143">
        <f>824975+199382+11704</f>
        <v>1036061</v>
      </c>
    </row>
    <row r="149" spans="1:10" ht="51.75" customHeight="1">
      <c r="A149" s="144" t="s">
        <v>869</v>
      </c>
      <c r="B149" s="144" t="s">
        <v>870</v>
      </c>
      <c r="C149" s="144" t="s">
        <v>480</v>
      </c>
      <c r="D149" s="142" t="s">
        <v>871</v>
      </c>
      <c r="E149" s="568"/>
      <c r="F149" s="568"/>
      <c r="G149" s="159">
        <f t="shared" si="6"/>
        <v>144600</v>
      </c>
      <c r="H149" s="159"/>
      <c r="I149" s="159">
        <f t="shared" si="7"/>
        <v>144600</v>
      </c>
      <c r="J149" s="143">
        <v>144600</v>
      </c>
    </row>
    <row r="150" spans="1:10" ht="69" customHeight="1">
      <c r="A150" s="144" t="s">
        <v>309</v>
      </c>
      <c r="B150" s="144" t="s">
        <v>310</v>
      </c>
      <c r="C150" s="144" t="s">
        <v>486</v>
      </c>
      <c r="D150" s="142" t="s">
        <v>311</v>
      </c>
      <c r="E150" s="568"/>
      <c r="F150" s="568"/>
      <c r="G150" s="159">
        <f t="shared" si="6"/>
        <v>227878</v>
      </c>
      <c r="H150" s="159"/>
      <c r="I150" s="159">
        <f t="shared" si="7"/>
        <v>227878</v>
      </c>
      <c r="J150" s="143">
        <f>227878</f>
        <v>227878</v>
      </c>
    </row>
    <row r="151" spans="1:10" ht="61.5" customHeight="1">
      <c r="A151" s="144" t="s">
        <v>872</v>
      </c>
      <c r="B151" s="144" t="s">
        <v>493</v>
      </c>
      <c r="C151" s="144" t="s">
        <v>494</v>
      </c>
      <c r="D151" s="142" t="s">
        <v>873</v>
      </c>
      <c r="E151" s="568"/>
      <c r="F151" s="568"/>
      <c r="G151" s="159">
        <f t="shared" si="6"/>
        <v>401746</v>
      </c>
      <c r="H151" s="159">
        <f>462550-180050</f>
        <v>282500</v>
      </c>
      <c r="I151" s="159">
        <f t="shared" si="7"/>
        <v>119246</v>
      </c>
      <c r="J151" s="143">
        <f>119246</f>
        <v>119246</v>
      </c>
    </row>
    <row r="152" spans="1:10" ht="36" customHeight="1" thickBot="1">
      <c r="A152" s="153" t="s">
        <v>874</v>
      </c>
      <c r="B152" s="153" t="s">
        <v>510</v>
      </c>
      <c r="C152" s="153" t="s">
        <v>486</v>
      </c>
      <c r="D152" s="173" t="s">
        <v>511</v>
      </c>
      <c r="E152" s="569"/>
      <c r="F152" s="569"/>
      <c r="G152" s="164">
        <f>H152+I152</f>
        <v>466302</v>
      </c>
      <c r="H152" s="164"/>
      <c r="I152" s="164">
        <f t="shared" si="7"/>
        <v>466302</v>
      </c>
      <c r="J152" s="157">
        <v>466302</v>
      </c>
    </row>
    <row r="153" spans="1:10" ht="51" customHeight="1">
      <c r="A153" s="385">
        <v>3700000</v>
      </c>
      <c r="B153" s="166"/>
      <c r="C153" s="167"/>
      <c r="D153" s="168" t="s">
        <v>880</v>
      </c>
      <c r="E153" s="196"/>
      <c r="F153" s="196"/>
      <c r="G153" s="176">
        <f>G154</f>
        <v>9341141</v>
      </c>
      <c r="H153" s="176">
        <f>H154</f>
        <v>4081589</v>
      </c>
      <c r="I153" s="176">
        <f>I154</f>
        <v>5259552</v>
      </c>
      <c r="J153" s="176">
        <f>J154</f>
        <v>5259552</v>
      </c>
    </row>
    <row r="154" spans="1:10" ht="50.25" customHeight="1">
      <c r="A154" s="375">
        <v>3710000</v>
      </c>
      <c r="B154" s="129"/>
      <c r="C154" s="130"/>
      <c r="D154" s="131" t="s">
        <v>880</v>
      </c>
      <c r="E154" s="197"/>
      <c r="F154" s="197"/>
      <c r="G154" s="133">
        <f>H154+I154</f>
        <v>9341141</v>
      </c>
      <c r="H154" s="133">
        <f>SUM(H155:H160)</f>
        <v>4081589</v>
      </c>
      <c r="I154" s="133">
        <f>SUM(I155:I160)</f>
        <v>5259552</v>
      </c>
      <c r="J154" s="133">
        <f>SUM(J155:J160)</f>
        <v>5259552</v>
      </c>
    </row>
    <row r="155" spans="1:10" ht="72" customHeight="1">
      <c r="A155" s="144" t="s">
        <v>882</v>
      </c>
      <c r="B155" s="144" t="s">
        <v>536</v>
      </c>
      <c r="C155" s="144" t="s">
        <v>389</v>
      </c>
      <c r="D155" s="142" t="s">
        <v>537</v>
      </c>
      <c r="E155" s="136" t="s">
        <v>905</v>
      </c>
      <c r="F155" s="148" t="s">
        <v>108</v>
      </c>
      <c r="G155" s="143">
        <f>I155</f>
        <v>50500</v>
      </c>
      <c r="H155" s="143"/>
      <c r="I155" s="143">
        <f>J155</f>
        <v>50500</v>
      </c>
      <c r="J155" s="143">
        <f>35500+15000</f>
        <v>50500</v>
      </c>
    </row>
    <row r="156" spans="1:10" s="244" customFormat="1" ht="104.25" customHeight="1">
      <c r="A156" s="144" t="s">
        <v>101</v>
      </c>
      <c r="B156" s="144" t="s">
        <v>102</v>
      </c>
      <c r="C156" s="144" t="s">
        <v>395</v>
      </c>
      <c r="D156" s="142" t="s">
        <v>98</v>
      </c>
      <c r="E156" s="138" t="s">
        <v>922</v>
      </c>
      <c r="F156" s="138" t="s">
        <v>112</v>
      </c>
      <c r="G156" s="143">
        <f>H156+I156</f>
        <v>2400068</v>
      </c>
      <c r="H156" s="143">
        <f>400068+2000000</f>
        <v>2400068</v>
      </c>
      <c r="I156" s="143"/>
      <c r="J156" s="143"/>
    </row>
    <row r="157" spans="1:10" s="244" customFormat="1" ht="71.25" customHeight="1">
      <c r="A157" s="423" t="s">
        <v>343</v>
      </c>
      <c r="B157" s="144" t="s">
        <v>344</v>
      </c>
      <c r="C157" s="144" t="s">
        <v>395</v>
      </c>
      <c r="D157" s="142" t="s">
        <v>333</v>
      </c>
      <c r="E157" s="136" t="s">
        <v>905</v>
      </c>
      <c r="F157" s="148" t="s">
        <v>108</v>
      </c>
      <c r="G157" s="143">
        <f>H157</f>
        <v>550000</v>
      </c>
      <c r="H157" s="143">
        <v>550000</v>
      </c>
      <c r="I157" s="143"/>
      <c r="J157" s="143"/>
    </row>
    <row r="158" spans="1:10" ht="37.5" customHeight="1">
      <c r="A158" s="144" t="s">
        <v>886</v>
      </c>
      <c r="B158" s="144" t="s">
        <v>887</v>
      </c>
      <c r="C158" s="144" t="s">
        <v>395</v>
      </c>
      <c r="D158" s="142" t="s">
        <v>888</v>
      </c>
      <c r="E158" s="552" t="s">
        <v>905</v>
      </c>
      <c r="F158" s="558" t="s">
        <v>108</v>
      </c>
      <c r="G158" s="143">
        <f>H158+I158</f>
        <v>127406</v>
      </c>
      <c r="H158" s="143">
        <f>99352+28054</f>
        <v>127406</v>
      </c>
      <c r="I158" s="143"/>
      <c r="J158" s="143"/>
    </row>
    <row r="159" spans="1:10" ht="64.5" customHeight="1">
      <c r="A159" s="124">
        <v>3718881</v>
      </c>
      <c r="B159" s="124">
        <v>8881</v>
      </c>
      <c r="C159" s="130" t="s">
        <v>486</v>
      </c>
      <c r="D159" s="142" t="s">
        <v>9</v>
      </c>
      <c r="E159" s="514"/>
      <c r="F159" s="587"/>
      <c r="G159" s="143">
        <f>H159+I159</f>
        <v>5209052</v>
      </c>
      <c r="H159" s="143"/>
      <c r="I159" s="143">
        <f>J159</f>
        <v>5209052</v>
      </c>
      <c r="J159" s="143">
        <v>5209052</v>
      </c>
    </row>
    <row r="160" spans="1:10" ht="63" customHeight="1" thickBot="1">
      <c r="A160" s="180">
        <v>3719800</v>
      </c>
      <c r="B160" s="180">
        <v>9800</v>
      </c>
      <c r="C160" s="134" t="s">
        <v>395</v>
      </c>
      <c r="D160" s="150" t="s">
        <v>12</v>
      </c>
      <c r="E160" s="586"/>
      <c r="F160" s="585"/>
      <c r="G160" s="172">
        <f>H160+I160</f>
        <v>1004115</v>
      </c>
      <c r="H160" s="172">
        <f>805135+198980</f>
        <v>1004115</v>
      </c>
      <c r="I160" s="172"/>
      <c r="J160" s="172"/>
    </row>
    <row r="161" spans="1:10" ht="24.75" customHeight="1" thickBot="1">
      <c r="A161" s="198" t="s">
        <v>895</v>
      </c>
      <c r="B161" s="198" t="s">
        <v>895</v>
      </c>
      <c r="C161" s="199" t="s">
        <v>895</v>
      </c>
      <c r="D161" s="200" t="s">
        <v>896</v>
      </c>
      <c r="E161" s="201" t="s">
        <v>895</v>
      </c>
      <c r="F161" s="201" t="s">
        <v>895</v>
      </c>
      <c r="G161" s="202">
        <f>G7+G63+G82+G98+G108+G124+G129+G133+G141+G153</f>
        <v>135190642</v>
      </c>
      <c r="H161" s="202">
        <f>H7+H63+H82+H98+H108+H124+H133+H129+H141+H153</f>
        <v>89581828</v>
      </c>
      <c r="I161" s="202">
        <f>I7+I63+I82+I98+I108+I124+I133+I129+I141+I153</f>
        <v>45608814</v>
      </c>
      <c r="J161" s="212">
        <f>J7+J63+J82+J98+J108+J124+J133+J129+J141+J153</f>
        <v>42207156</v>
      </c>
    </row>
    <row r="162" spans="7:10" ht="12.75">
      <c r="G162" s="116"/>
      <c r="H162" s="203"/>
      <c r="I162" s="203"/>
      <c r="J162" s="203"/>
    </row>
    <row r="163" spans="7:10" ht="12.75">
      <c r="G163" s="116"/>
      <c r="H163" s="203"/>
      <c r="I163" s="203"/>
      <c r="J163" s="203"/>
    </row>
    <row r="164" spans="7:10" ht="12.75">
      <c r="G164" s="116"/>
      <c r="H164" s="203"/>
      <c r="I164" s="203"/>
      <c r="J164" s="203"/>
    </row>
    <row r="165" spans="7:10" ht="12.75">
      <c r="G165" s="204"/>
      <c r="H165" s="204"/>
      <c r="I165" s="204"/>
      <c r="J165" s="204"/>
    </row>
    <row r="166" spans="8:10" ht="13.5" customHeight="1">
      <c r="H166" s="205"/>
      <c r="I166" s="205"/>
      <c r="J166" s="205"/>
    </row>
    <row r="167" spans="1:10" s="30" customFormat="1" ht="18.75">
      <c r="A167" s="110" t="s">
        <v>370</v>
      </c>
      <c r="B167" s="116"/>
      <c r="C167" s="207"/>
      <c r="D167" s="208"/>
      <c r="E167" s="208"/>
      <c r="F167" s="208"/>
      <c r="I167" s="108" t="s">
        <v>46</v>
      </c>
      <c r="J167" s="5"/>
    </row>
    <row r="169" ht="15.75">
      <c r="B169" s="206"/>
    </row>
    <row r="170" spans="7:10" ht="12.75">
      <c r="G170" s="7"/>
      <c r="H170" s="7"/>
      <c r="I170" s="7"/>
      <c r="J170" s="7"/>
    </row>
  </sheetData>
  <sheetProtection/>
  <mergeCells count="113">
    <mergeCell ref="A136:A138"/>
    <mergeCell ref="E158:E160"/>
    <mergeCell ref="F158:F160"/>
    <mergeCell ref="E131:E132"/>
    <mergeCell ref="F131:F132"/>
    <mergeCell ref="F144:F152"/>
    <mergeCell ref="A122:A123"/>
    <mergeCell ref="B122:B123"/>
    <mergeCell ref="C122:C123"/>
    <mergeCell ref="D122:D123"/>
    <mergeCell ref="F58:F59"/>
    <mergeCell ref="C43:C44"/>
    <mergeCell ref="F100:F103"/>
    <mergeCell ref="D77:D78"/>
    <mergeCell ref="F85:F88"/>
    <mergeCell ref="C73:C74"/>
    <mergeCell ref="E79:E81"/>
    <mergeCell ref="E100:E103"/>
    <mergeCell ref="F90:F92"/>
    <mergeCell ref="E90:E93"/>
    <mergeCell ref="D113:D114"/>
    <mergeCell ref="E85:E88"/>
    <mergeCell ref="B73:B74"/>
    <mergeCell ref="E58:E59"/>
    <mergeCell ref="D104:D105"/>
    <mergeCell ref="D73:D74"/>
    <mergeCell ref="B77:B78"/>
    <mergeCell ref="D13:D14"/>
    <mergeCell ref="A71:A72"/>
    <mergeCell ref="B71:B72"/>
    <mergeCell ref="D43:D44"/>
    <mergeCell ref="B65:B67"/>
    <mergeCell ref="D47:D48"/>
    <mergeCell ref="C35:C36"/>
    <mergeCell ref="C71:C72"/>
    <mergeCell ref="A117:A120"/>
    <mergeCell ref="A77:A78"/>
    <mergeCell ref="A104:A105"/>
    <mergeCell ref="B104:B105"/>
    <mergeCell ref="C104:C105"/>
    <mergeCell ref="E144:E152"/>
    <mergeCell ref="B136:B138"/>
    <mergeCell ref="C136:C138"/>
    <mergeCell ref="D136:D138"/>
    <mergeCell ref="A73:A74"/>
    <mergeCell ref="A4:A5"/>
    <mergeCell ref="B113:B114"/>
    <mergeCell ref="D117:D120"/>
    <mergeCell ref="A113:A114"/>
    <mergeCell ref="C113:C114"/>
    <mergeCell ref="C117:C120"/>
    <mergeCell ref="D50:D57"/>
    <mergeCell ref="D65:D67"/>
    <mergeCell ref="D71:D72"/>
    <mergeCell ref="B117:B120"/>
    <mergeCell ref="G1:H1"/>
    <mergeCell ref="E40:E41"/>
    <mergeCell ref="F40:F41"/>
    <mergeCell ref="F79:F81"/>
    <mergeCell ref="C77:C78"/>
    <mergeCell ref="C15:C19"/>
    <mergeCell ref="D15:D19"/>
    <mergeCell ref="A2:J2"/>
    <mergeCell ref="A65:A67"/>
    <mergeCell ref="C65:C67"/>
    <mergeCell ref="A47:A48"/>
    <mergeCell ref="D32:D33"/>
    <mergeCell ref="A35:A36"/>
    <mergeCell ref="B35:B36"/>
    <mergeCell ref="A68:A70"/>
    <mergeCell ref="B68:B70"/>
    <mergeCell ref="C68:C70"/>
    <mergeCell ref="D68:D70"/>
    <mergeCell ref="C32:C33"/>
    <mergeCell ref="D35:D36"/>
    <mergeCell ref="A50:A57"/>
    <mergeCell ref="B50:B57"/>
    <mergeCell ref="C50:C57"/>
    <mergeCell ref="B47:B48"/>
    <mergeCell ref="C47:C48"/>
    <mergeCell ref="A43:A44"/>
    <mergeCell ref="B43:B44"/>
    <mergeCell ref="A32:A33"/>
    <mergeCell ref="B32:B33"/>
    <mergeCell ref="D26:D27"/>
    <mergeCell ref="A24:A25"/>
    <mergeCell ref="A15:A19"/>
    <mergeCell ref="B15:B19"/>
    <mergeCell ref="B24:B25"/>
    <mergeCell ref="C24:C25"/>
    <mergeCell ref="D24:D25"/>
    <mergeCell ref="B4:B5"/>
    <mergeCell ref="A26:A27"/>
    <mergeCell ref="B26:B27"/>
    <mergeCell ref="C26:C27"/>
    <mergeCell ref="A13:A14"/>
    <mergeCell ref="B13:B14"/>
    <mergeCell ref="C13:C14"/>
    <mergeCell ref="I4:J4"/>
    <mergeCell ref="E4:E5"/>
    <mergeCell ref="F4:F5"/>
    <mergeCell ref="C11:C12"/>
    <mergeCell ref="D9:D10"/>
    <mergeCell ref="D11:D12"/>
    <mergeCell ref="A9:A10"/>
    <mergeCell ref="B9:B10"/>
    <mergeCell ref="C9:C10"/>
    <mergeCell ref="A11:A12"/>
    <mergeCell ref="B11:B12"/>
    <mergeCell ref="C4:C5"/>
    <mergeCell ref="D4:D5"/>
    <mergeCell ref="G4:G5"/>
    <mergeCell ref="H4:H5"/>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2019-08-27T06:44:21Z</cp:lastPrinted>
  <dcterms:created xsi:type="dcterms:W3CDTF">2014-01-17T10:52:16Z</dcterms:created>
  <dcterms:modified xsi:type="dcterms:W3CDTF">2019-08-27T06:45:10Z</dcterms:modified>
  <cp:category/>
  <cp:version/>
  <cp:contentType/>
  <cp:contentStatus/>
</cp:coreProperties>
</file>