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4905" activeTab="6"/>
  </bookViews>
  <sheets>
    <sheet name="додаток1" sheetId="1" r:id="rId1"/>
    <sheet name="додаток2" sheetId="2" r:id="rId2"/>
    <sheet name="додаток3" sheetId="3" r:id="rId3"/>
    <sheet name="додаток4" sheetId="4" r:id="rId4"/>
    <sheet name="додаток 5" sheetId="5" r:id="rId5"/>
    <sheet name="додаток 6" sheetId="6" r:id="rId6"/>
    <sheet name="додаток 7" sheetId="7" r:id="rId7"/>
  </sheets>
  <definedNames>
    <definedName name="_xlnm.Print_Titles" localSheetId="4">'додаток 5'!$A:$B</definedName>
    <definedName name="_xlnm.Print_Titles" localSheetId="5">'додаток 6'!$11:$16</definedName>
    <definedName name="_xlnm.Print_Titles" localSheetId="6">'додаток 7'!$9:$17</definedName>
    <definedName name="_xlnm.Print_Titles" localSheetId="0">'додаток1'!$11:$15</definedName>
    <definedName name="_xlnm.Print_Titles" localSheetId="2">'додаток3'!$12:$16</definedName>
    <definedName name="_xlnm.Print_Area" localSheetId="0">'додаток1'!$A$1:$F$129</definedName>
  </definedNames>
  <calcPr fullCalcOnLoad="1"/>
</workbook>
</file>

<file path=xl/sharedStrings.xml><?xml version="1.0" encoding="utf-8"?>
<sst xmlns="http://schemas.openxmlformats.org/spreadsheetml/2006/main" count="1775" uniqueCount="805">
  <si>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</si>
  <si>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</si>
  <si>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</si>
  <si>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</si>
  <si>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</si>
  <si>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</si>
  <si>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</si>
  <si>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</si>
  <si>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</si>
  <si>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</si>
  <si>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</si>
  <si>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</si>
  <si>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</si>
  <si>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</si>
  <si>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</si>
  <si>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</si>
  <si>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</si>
  <si>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</si>
  <si>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</si>
  <si>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</si>
  <si>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</si>
  <si>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</si>
  <si>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Інша діяльність, пов'язана з експлуатацією об'єктів житлово-комунального господарства</t>
  </si>
  <si>
    <t>Програма місцевих стимулів для медичних
працівників на території Новокаховської  міської ради на 2018-2022 роки</t>
  </si>
  <si>
    <t xml:space="preserve">кошти міського бюджету 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</si>
  <si>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</si>
  <si>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Програма розвитку освітньої галузі на 2020-2022 роки </t>
  </si>
  <si>
    <t>Реставрація монументу загиблих захисників вітчизни в с. Веселе</t>
  </si>
  <si>
    <t>Додаток 4</t>
  </si>
  <si>
    <t>Програма забезпечення виконання військового 
обов’язку громадянами на 2020-2021 роки</t>
  </si>
  <si>
    <t>Програма щодо організації та проведення оплачуваних громадських робіт для безробітних громадян у Новокаховській ОТГ на 2020 рік</t>
  </si>
  <si>
    <t>Міжбюджетні трансферти на 2020 рік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</si>
  <si>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</si>
  <si>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</si>
  <si>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</si>
  <si>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</si>
  <si>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</si>
  <si>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</si>
  <si>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</si>
  <si>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</si>
  <si>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</si>
  <si>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</si>
  <si>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</si>
  <si>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</si>
  <si>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</si>
  <si>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</si>
  <si>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на 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</si>
  <si>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на утримання та технічне обслуговування котелень, які знаходяться на балансі Таврійської міської ради</t>
  </si>
  <si>
    <t>у закладах загальної середньої освіти</t>
  </si>
  <si>
    <t>на закупівлю засобів навчання та обладнання для навчальних кабінетів початкової школи (видатки розвитку)</t>
  </si>
  <si>
    <t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</si>
  <si>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>на підвищення кваліфікації педагогічних працівників та проведення супервізії (видатки споживання)</t>
  </si>
  <si>
    <t>цільові видатки на лікування хворих на цукровий та нецукровий діабет</t>
  </si>
  <si>
    <t>4</t>
  </si>
  <si>
    <t>5</t>
  </si>
  <si>
    <t>6</t>
  </si>
  <si>
    <t>7</t>
  </si>
  <si>
    <t>8</t>
  </si>
  <si>
    <t>9</t>
  </si>
  <si>
    <t>Державний бюджет</t>
  </si>
  <si>
    <t>Обласний бюджет</t>
  </si>
  <si>
    <t>Таврійський міський бюджет</t>
  </si>
  <si>
    <t>Районний бюджет Бериславського району</t>
  </si>
  <si>
    <t>Доходи бюджету Новокаховської міської об"єднаної територіальної громади                                                                                             на  2020 рік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</si>
  <si>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</si>
  <si>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</si>
  <si>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</si>
  <si>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</si>
  <si>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Капітальний ремонт будівлі я/с №15 "Червоненька квіточка" (заміна вікон), м. Нова Каховка, вул. Горького, 11/1</t>
  </si>
  <si>
    <t>Реконструкція існуючої будівлі під дитячий садок по вул. Монастирська, 50 в с. Корсунка   м. Нова Каховка, Херсонської області  (проектні роботи)</t>
  </si>
  <si>
    <t>Капітальний ремонт проїзної частини по вул. Горького в м. Нова Каховка Херсонської області (в межах вул. Дружби - вул. Індустріальна) (проектні роботи)</t>
  </si>
  <si>
    <t>Реконструкція вуличного освітлення по вул. Соснова в с. Корсунка Херсонської області</t>
  </si>
  <si>
    <t>Реконструкція вуличного освітлення по вул.Степова в с. Корсунка Херсонської області</t>
  </si>
  <si>
    <t>Капітальний ремонт проїзної частини вул. Шевченка  в межах будинків №1-№125 в смт. Козацьке Херсонської області (проектні роботи)</t>
  </si>
  <si>
    <t>0217325</t>
  </si>
  <si>
    <t>Підтримка спорту вищих досягнень та організацій, які здійснюють  фізкультурно-спортивну діяльність в регіоні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</si>
  <si>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</si>
  <si>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</si>
  <si>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</si>
  <si>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</si>
  <si>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</si>
  <si>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</si>
  <si>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</si>
  <si>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</si>
  <si>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</si>
  <si>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</si>
  <si>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</si>
  <si>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</si>
  <si>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</si>
  <si>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</si>
  <si>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</si>
  <si>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</si>
  <si>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</si>
  <si>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</si>
  <si>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</si>
  <si>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</si>
  <si>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</si>
  <si>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</si>
  <si>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</si>
  <si>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</si>
  <si>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</si>
  <si>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</si>
  <si>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</si>
  <si>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</si>
  <si>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</si>
  <si>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</si>
  <si>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</si>
  <si>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</si>
  <si>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</si>
  <si>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</si>
  <si>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</si>
  <si>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</si>
  <si>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</si>
  <si>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</si>
  <si>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</si>
  <si>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</si>
  <si>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</si>
  <si>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</si>
  <si>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</si>
  <si>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</si>
  <si>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</si>
  <si>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</si>
  <si>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</si>
  <si>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</si>
  <si>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</si>
  <si>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</si>
  <si>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</si>
  <si>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</si>
  <si>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</si>
  <si>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</si>
  <si>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</si>
  <si>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Державне мито, пов'язане з видачею та оформленням закордонних паспортів (посвідок) та паспортів громадян України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</si>
  <si>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</si>
  <si>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</si>
  <si>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</si>
  <si>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</si>
  <si>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</si>
  <si>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</si>
  <si>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Плата за гарантії, надані Верховною Радою Автономної Республіки Крим та міськими радами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</si>
  <si>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</si>
  <si>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</si>
  <si>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</si>
  <si>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</si>
  <si>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</si>
  <si>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Надходження бюджетних установ від реалізації в установленому порядку майна (крім нерухомого майна) 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</si>
  <si>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</si>
  <si>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</si>
  <si>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</si>
  <si>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</si>
  <si>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</si>
  <si>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</si>
  <si>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</si>
  <si>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</si>
  <si>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</si>
  <si>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</si>
  <si>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</si>
  <si>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</si>
  <si>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</si>
  <si>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</si>
  <si>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</si>
  <si>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</si>
  <si>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</si>
  <si>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</si>
  <si>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</si>
  <si>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</si>
  <si>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</si>
  <si>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</si>
  <si>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Інші субвенції з місцевого бюджету                                           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</si>
  <si>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</si>
  <si>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</si>
  <si>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7-го скликання міської ради</t>
  </si>
  <si>
    <t>Кредитування бюджету Новокаховської міської об"єднаної територіальної громади  у 2020 році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</si>
  <si>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</si>
  <si>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</si>
  <si>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</si>
  <si>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</si>
  <si>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</si>
  <si>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</si>
  <si>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</si>
  <si>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Додаток 6</t>
  </si>
  <si>
    <t>Додаток 7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</si>
  <si>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</si>
  <si>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О.В. Лук'яненко</t>
  </si>
  <si>
    <t>Капітальний ремонт ділянки теплової мережі від ТК С19-5 до я/с №3 "Соколятко" по пр.Перемоги, 15 в м. Нова Каховка Херсонської області</t>
  </si>
  <si>
    <t>Капітальний ремонт ділянки теплової мережі від ТК С19-3 до ТК С19-3а в м. Нова Каховка Херсонської області</t>
  </si>
  <si>
    <t>Капітальний ремонт ділянки теплової мережі від ТКЄ40-1 до ТКЄ41 по вул. Затишна в м. Нова Каховка Херсонської області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</si>
  <si>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</si>
  <si>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</si>
  <si>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</si>
  <si>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елементів благоустрою скверу "Пристань"</t>
  </si>
  <si>
    <t>Капітальний ремонт (відновлення) пасажирського ліфту по вул. М.Букіна, 62а п. №3 у м. Нова Каховка</t>
  </si>
  <si>
    <t>Програма соціальної підтримки сім"ї на 2020-2022 роки</t>
  </si>
  <si>
    <t>Капітальний ремонт ділянки теплової мережі з заміною діаметра від ТК С20б-1 до ЗЗСО №10 по пр. Перемоги, 30 в м. Нова Каховка Херсонської області</t>
  </si>
  <si>
    <t>Капітальний ремонт маніпуляційного кабінету та кабінету щеплень в східному крилі поліклініки №1 по вул. Героїв України, 33а</t>
  </si>
  <si>
    <t>Капітальний ремонт хірургічного відділення на лікарняному комплексі №2 по вул. Свєтлова, 1 м. Нова Каховка</t>
  </si>
  <si>
    <t>Капітальний ремонт приміщень шкірно-венерологічного диспансеру по вул. Андріїївська буд. №30 м. Нова Каховка</t>
  </si>
  <si>
    <t>Капітальний ремонт покрівлі переходу дитячої полікліники на лікарняному комплексі по вул. Свєтлова, 1, м. Нова Каховка</t>
  </si>
  <si>
    <t>Капітальний ремонт будівлі по заміні дверних блоків в тхірургічному відділенні №1 по вул. Свєтлова, 1, м. Нова Каховка</t>
  </si>
  <si>
    <t>Капітальний ремонт амбулаторії загальної практики сімейної медицини №6, с. Веселе, вул. Наддніпрянська, 14</t>
  </si>
  <si>
    <t>Капітальний ремонт тротуарів по пр. Дніпровський вздовж житлової забудови в межах вулиць Паркова-Затишна</t>
  </si>
  <si>
    <t xml:space="preserve">Капітальний ремонт електричної мережі атракціонів </t>
  </si>
  <si>
    <t>Капітальний ремонт санвузлів для осіб з обмеженими можливостями в кінотеатрі "Юність"</t>
  </si>
  <si>
    <t>Капітальний ремонт покриття тротуарів по вулиці Першотравнева (в районі ж/б №22)</t>
  </si>
  <si>
    <t>Капітальний ремонт фойє будинку культури в смт. Козацьке, Бериславського району, Херсонської області</t>
  </si>
  <si>
    <t>Капітальний ремонт головного входу та огорожі спортивного комплексу стадіону "Енергія"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</si>
  <si>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</t>
  </si>
  <si>
    <t>Капітальний ремонт спортивно-футбольного поля "Дніпро" спортивного комплексу стадіон "Енергія" по пр. Дніпровський, 28 м. Нова Каховка (встановлення трибун) (проектні роботи)</t>
  </si>
  <si>
    <t>Створення нового освітнього простору профільної школи - 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</si>
  <si>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покрівлі я/с №7 "Ромашка"</t>
  </si>
  <si>
    <t>Капітальний ремонт перекриття ІІ поверху центральної частини будівлі НВК №2 із заміною підвісної стелі в м. Нова Каховка, вул. Історична, 9</t>
  </si>
  <si>
    <t>Капітальний ремонт будівлі спортивної зали ЗЗСО №6 (заміна вікон), м. Нова Каховка, пр. Дніпровський, 263</t>
  </si>
  <si>
    <t>Капітальний ремонт покрівлі учбового корпусу старшої школи гімназії, Херсонська область, місто Нова Каховка, вул. Першотравнева, 27</t>
  </si>
  <si>
    <t>Капітальний ремонт будівлі ДНЗ №14 по вул. Наддніпрянська, 102 в смт. Дніпряни м. Нова Каховка Херсонської області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</si>
  <si>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кабінетах старшої ланки школи), за адресою: Херсонська область, місто Нова Каховка, пр. Перемоги, 30</t>
  </si>
  <si>
    <t>Капітальний ремонт будівлі загальноосвітньої школи І-ІІІ ступенів №10 Новокаховської міської ради (встановлення металопластикових вікон та дверей в приміщеннях шкільної їдальні, спортивного залу та початкової ланки школи), за адресою: Херсонська область, місто Нова Каховка, пр. Перемоги, 30</t>
  </si>
  <si>
    <t>Рішення Новокаховської міської ради від 17.09.2020 р.        № 3174</t>
  </si>
  <si>
    <t>до рішення 88 сесії</t>
  </si>
  <si>
    <t>від 15.10.2020 року №3309</t>
  </si>
  <si>
    <t>Капітальний ремонт будівлі НВК "Д/з - ЗЗСО №2" (заміна вікон), м. Нова Каховка, вул. Довженка, 3</t>
  </si>
  <si>
    <t>Капітальний ремонт нежитлової будівлі в с. Обривка по вул. Ювілейна, 27</t>
  </si>
  <si>
    <t>Реконструкція вуличного освітлення вул. Степова в с. Нові Лагері, Херсонської області</t>
  </si>
  <si>
    <t>Реконструкція вуличного освітлення вул. Нова в с. Нові Лагері, Херсонської області</t>
  </si>
  <si>
    <t>Реконструкція вуличного освітлення вул. Миру в с. Нові Лагері, Херсонської області</t>
  </si>
  <si>
    <t>Капітальний ремонт проїзної частини вул. Нова в смт. Козацьке Херсонської області</t>
  </si>
  <si>
    <t>Капітальний ремонт покриття проїзної частини вул. Шевченко довжиною 250м в смт. Козацьке Херсонської області</t>
  </si>
  <si>
    <t>Капітальний ремонт системи вентиляції їдальні ЗЗСО №10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</si>
  <si>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</si>
  <si>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0611180</t>
  </si>
  <si>
    <t>1180</t>
  </si>
  <si>
    <t>Виконання заходів в рамках реалізації програми "Спроможна школа для кращих результатів"</t>
  </si>
  <si>
    <t>субвенція</t>
  </si>
  <si>
    <t>субвенція спроможна школа</t>
  </si>
  <si>
    <t>Капітальний ремонт будівлі ЗЗСО №6 (заміна вікон)</t>
  </si>
  <si>
    <t xml:space="preserve">реалізацію програми "Спроможна школа для кращих результатів" за рахунок відповідної субвенції з державного бюджету (видатки розвитку)
</t>
  </si>
  <si>
    <t>на заробітну плату з нарахуваннями педагогічним працівникам інклюзивно-ресурсних центрів</t>
  </si>
  <si>
    <t>ремонт та придбання обладнання для їдалень (харчоблоків) державних або комунальних закладів загальної середньої освіти</t>
  </si>
  <si>
    <t>спецільного фонду на:</t>
  </si>
  <si>
    <t>на фінансування проектів-переможців ІІІ обласного конкурсу проектів розвитку територіальних громад сіл, селищ, міст Херсонської області</t>
  </si>
  <si>
    <t>Створення нового освітнього простору профільної школи-академічного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</si>
  <si>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Капітальний ремонт будівлі я/с №9 "Оленка" (заміна вікон в гр. №10), м. Нова Каховка, вул. Свєтлова, 12/1</t>
  </si>
  <si>
    <t>Капітальний ремонт приміщення вестибюлю  ЗЗСО №10  м. Нова Каховка, проспект Перемоги, 30</t>
  </si>
  <si>
    <t>Капітальний ремонт будівлі ЗЗСО №10 (заміна дверей), м. Нова Каховка, пр. Перемоги, 30</t>
  </si>
  <si>
    <t>Капітальний ремонт будівлі ЗЗСО №10 (заміна вікон), м. Нова Каховка, пр. Перемоги, 30</t>
  </si>
  <si>
    <t>Капітальний ремонт покрівлі Будинку дитячої творчості, що розташована за адресою: Херсонська область, м. Нова Каховка, вул. Затишна, 19 (проектні роботи)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</si>
  <si>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та залишок на початок року - 38441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</si>
  <si>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</si>
  <si>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</si>
  <si>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Рішення Новокаховської міської ради від 20.12.2018 р.      № 1643</t>
  </si>
  <si>
    <t>0817323</t>
  </si>
  <si>
    <t>7323</t>
  </si>
  <si>
    <t>Будівництво установ та закладів соціальної сфери</t>
  </si>
  <si>
    <t>Улаштування огорожі пандусу кінотеатру "Юність"</t>
  </si>
  <si>
    <t>1117670</t>
  </si>
  <si>
    <t>Капітальний ремонт покрівлі будівлі за адресою вул. Історична, 52</t>
  </si>
  <si>
    <t>Капітальний ремонт приміщень будівлі ЗЗСО №1 (заміна вікон в кабінетах історії та інформатики), м. Нова Каховка, вул. Історична, 27/1</t>
  </si>
  <si>
    <t>Капітальний ремонт будівлі молодшої школи гімназії № 2 (заміна вікон в 1-А класі)</t>
  </si>
  <si>
    <t>Програма капітальних ремонтів об'єктів комунальної власності територіальногоцентру  соціального обслуговування (надання соціальних послуг) Новокаховської міської ради на 2020 рік</t>
  </si>
  <si>
    <t>проведення виборів депутатів місцевих рад та сільських, селищних, міських голів за рахунок відповідної субвенції з державного бюджету</t>
  </si>
  <si>
    <t>підготовку і проведення місцевих виборів 25 жовтня 2020 року</t>
  </si>
  <si>
    <t>всього</t>
  </si>
  <si>
    <t>з них на підготовку і проведення виборів депутатів районних рад</t>
  </si>
  <si>
    <t xml:space="preserve">виготовлення органами ведення Державного реєстру виборців списків виборців та іменних запрошень для підготовки і проведення місцевих виборів 25 жовтня 2020 року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</si>
  <si>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</si>
  <si>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Додаток 5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</si>
  <si>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</si>
  <si>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</si>
  <si>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</si>
  <si>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0210181</t>
  </si>
  <si>
    <t>0210191</t>
  </si>
  <si>
    <t>0191</t>
  </si>
  <si>
    <t>Проведення місцевих виборів</t>
  </si>
  <si>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</si>
  <si>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</si>
  <si>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</si>
  <si>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</si>
  <si>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</si>
  <si>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</si>
  <si>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</si>
  <si>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</si>
  <si>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</si>
  <si>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</si>
  <si>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</si>
  <si>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</si>
  <si>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</si>
  <si>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</si>
  <si>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</si>
  <si>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</si>
  <si>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</si>
  <si>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</si>
  <si>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</si>
  <si>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</si>
  <si>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</si>
  <si>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</si>
  <si>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</si>
  <si>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</si>
  <si>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</si>
  <si>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</si>
  <si>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</si>
  <si>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</si>
  <si>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</si>
  <si>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</si>
  <si>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</si>
  <si>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</si>
  <si>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</si>
  <si>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</si>
  <si>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</si>
  <si>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</si>
  <si>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</si>
  <si>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</si>
  <si>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</si>
  <si>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</si>
  <si>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</si>
  <si>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</si>
  <si>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</si>
  <si>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</si>
  <si>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</si>
  <si>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</si>
  <si>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</si>
  <si>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</si>
  <si>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</si>
  <si>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</si>
  <si>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</si>
  <si>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</si>
  <si>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</si>
  <si>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</si>
  <si>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</si>
  <si>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</si>
  <si>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</si>
  <si>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</si>
  <si>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</si>
  <si>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</si>
  <si>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</si>
  <si>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</si>
  <si>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</si>
  <si>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</si>
  <si>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</si>
  <si>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</si>
  <si>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</si>
  <si>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</si>
  <si>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</si>
  <si>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</si>
  <si>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</si>
  <si>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</si>
  <si>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</si>
  <si>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</si>
  <si>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</si>
  <si>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</si>
  <si>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</si>
  <si>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</si>
  <si>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</si>
  <si>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</si>
  <si>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</si>
  <si>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</si>
  <si>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</si>
  <si>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</si>
  <si>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</si>
  <si>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</si>
  <si>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</si>
  <si>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</si>
  <si>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</si>
  <si>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</si>
  <si>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</si>
  <si>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</si>
  <si>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</si>
  <si>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</si>
  <si>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</si>
  <si>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</si>
  <si>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</si>
  <si>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</si>
  <si>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</si>
  <si>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</si>
  <si>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</si>
  <si>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</si>
  <si>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</si>
  <si>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</si>
  <si>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</si>
  <si>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</si>
  <si>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</si>
  <si>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</si>
  <si>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</si>
  <si>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</si>
  <si>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</si>
  <si>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</si>
  <si>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</si>
  <si>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</si>
  <si>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</si>
  <si>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</si>
  <si>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</si>
  <si>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</si>
  <si>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</si>
  <si>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</si>
  <si>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</si>
  <si>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</si>
  <si>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</si>
  <si>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</si>
  <si>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</si>
  <si>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</si>
  <si>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</si>
  <si>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</si>
  <si>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</si>
  <si>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</si>
  <si>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</si>
  <si>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</si>
  <si>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</si>
  <si>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</si>
  <si>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</si>
  <si>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</si>
  <si>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</si>
  <si>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</si>
  <si>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</si>
  <si>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</si>
  <si>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</si>
  <si>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</si>
  <si>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</si>
  <si>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</si>
  <si>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</si>
  <si>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</si>
  <si>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</si>
  <si>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</si>
  <si>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</si>
  <si>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</si>
  <si>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</si>
  <si>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</si>
  <si>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</si>
  <si>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</si>
  <si>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</si>
  <si>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</si>
  <si>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</si>
  <si>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</si>
  <si>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</si>
  <si>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</si>
  <si>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</si>
  <si>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</si>
  <si>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</si>
  <si>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</si>
  <si>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</si>
  <si>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</si>
  <si>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</si>
  <si>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</si>
  <si>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</si>
  <si>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</si>
  <si>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</si>
  <si>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</si>
  <si>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</si>
  <si>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</si>
  <si>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</si>
  <si>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</si>
  <si>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</si>
  <si>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</si>
  <si>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</si>
  <si>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</si>
  <si>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</si>
  <si>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</si>
  <si>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</si>
  <si>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</si>
  <si>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</si>
  <si>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</si>
  <si>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</si>
  <si>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</si>
  <si>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</si>
  <si>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</si>
  <si>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</si>
  <si>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</si>
  <si>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</si>
  <si>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</si>
  <si>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</si>
  <si>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</si>
  <si>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</si>
  <si>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</si>
  <si>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</si>
  <si>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</si>
  <si>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</si>
  <si>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</si>
  <si>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</si>
  <si>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</si>
  <si>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</si>
  <si>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</si>
  <si>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</si>
  <si>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</si>
  <si>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</si>
  <si>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</si>
  <si>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</si>
  <si>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</si>
  <si>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</si>
  <si>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</si>
  <si>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</si>
  <si>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</si>
  <si>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</si>
  <si>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</si>
  <si>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</si>
  <si>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</si>
  <si>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</si>
  <si>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</si>
  <si>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</si>
  <si>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</si>
  <si>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</si>
  <si>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</si>
  <si>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</si>
  <si>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</si>
  <si>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</si>
  <si>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</si>
  <si>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</si>
  <si>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</si>
  <si>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</si>
  <si>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</si>
  <si>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</si>
  <si>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</si>
  <si>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</si>
  <si>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</si>
  <si>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</si>
  <si>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</si>
  <si>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</si>
  <si>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</si>
  <si>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</si>
  <si>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</si>
  <si>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</si>
  <si>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</si>
  <si>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</si>
  <si>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</si>
  <si>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</si>
  <si>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</si>
  <si>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</si>
  <si>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</si>
  <si>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</si>
  <si>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</si>
  <si>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</si>
  <si>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</si>
  <si>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</si>
  <si>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</si>
  <si>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</si>
  <si>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</si>
  <si>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</si>
  <si>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</si>
  <si>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</si>
  <si>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</si>
  <si>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</si>
  <si>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</si>
  <si>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</si>
  <si>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</si>
  <si>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</si>
  <si>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</si>
  <si>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</si>
  <si>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</si>
  <si>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</si>
  <si>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</si>
  <si>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</si>
  <si>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</si>
  <si>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</si>
  <si>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</si>
  <si>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</si>
  <si>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</si>
  <si>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</si>
  <si>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</si>
  <si>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</si>
  <si>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</si>
  <si>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</si>
  <si>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</si>
  <si>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</si>
  <si>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</si>
  <si>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</si>
  <si>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</si>
  <si>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</si>
  <si>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</si>
  <si>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</si>
  <si>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</si>
  <si>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</si>
  <si>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</si>
  <si>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</si>
  <si>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</si>
  <si>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</si>
  <si>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</si>
  <si>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</si>
  <si>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</si>
  <si>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</si>
  <si>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</si>
  <si>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</si>
  <si>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</si>
  <si>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</si>
  <si>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</si>
  <si>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</si>
  <si>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</si>
  <si>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</si>
  <si>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</si>
  <si>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</si>
  <si>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</si>
  <si>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</si>
  <si>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</si>
  <si>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</si>
  <si>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</si>
  <si>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</si>
  <si>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</si>
  <si>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</si>
  <si>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</si>
  <si>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</si>
  <si>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</si>
  <si>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</si>
  <si>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</si>
  <si>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</si>
  <si>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</si>
  <si>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</si>
  <si>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</si>
  <si>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</si>
  <si>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</si>
  <si>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</si>
  <si>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</si>
  <si>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Секретар міської ради</t>
  </si>
  <si>
    <t>О.В. Лук'яненко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</si>
  <si>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</si>
  <si>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</si>
  <si>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</si>
  <si>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</si>
  <si>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</si>
  <si>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</si>
  <si>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</si>
  <si>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</si>
  <si>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</si>
  <si>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</si>
  <si>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</si>
  <si>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</si>
  <si>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</si>
  <si>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</si>
  <si>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</si>
  <si>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</si>
  <si>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</si>
  <si>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</si>
  <si>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</si>
  <si>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</si>
  <si>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</si>
  <si>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</si>
  <si>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</si>
  <si>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</si>
  <si>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</si>
  <si>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</si>
  <si>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</si>
  <si>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</si>
  <si>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</si>
  <si>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</si>
  <si>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</si>
  <si>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</si>
  <si>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</si>
  <si>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</si>
  <si>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</si>
  <si>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</si>
  <si>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</si>
  <si>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</si>
  <si>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</si>
  <si>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</si>
  <si>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</si>
  <si>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</si>
  <si>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</si>
  <si>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</si>
  <si>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</si>
  <si>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</si>
  <si>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</si>
  <si>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</si>
  <si>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</si>
  <si>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</si>
  <si>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</si>
  <si>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</si>
  <si>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</si>
  <si>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</si>
  <si>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</si>
  <si>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</si>
  <si>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</si>
  <si>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</si>
  <si>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</si>
  <si>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</si>
  <si>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</si>
  <si>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</si>
  <si>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</si>
  <si>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</si>
  <si>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×</t>
  </si>
  <si>
    <t xml:space="preserve">               О.В. Лук'яненко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</si>
  <si>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</si>
  <si>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</si>
  <si>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</si>
  <si>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</si>
  <si>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</si>
  <si>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</si>
  <si>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</si>
  <si>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</si>
  <si>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</si>
  <si>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</si>
  <si>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</si>
  <si>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</si>
  <si>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</si>
  <si>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</si>
  <si>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Рішення Новокаховської міської ради від 13.02.2020  р.        № 2593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</si>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</sst>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0.0"/>
    <numFmt numFmtId="202" formatCode="0.00000"/>
    <numFmt numFmtId="203" formatCode="0.0000"/>
    <numFmt numFmtId="204" formatCode="0.000"/>
    <numFmt numFmtId="205" formatCode="#,##0_ ;\-#,##0\ "/>
    <numFmt numFmtId="206" formatCode="_-* #,##0.0\ _г_р_н_._-;\-* #,##0.0\ _г_р_н_._-;_-* &quot;-&quot;\ _г_р_н_._-;_-@_-"/>
    <numFmt numFmtId="207" formatCode="0.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4"/>
      <name val="Times New Roman Cyr"/>
      <family val="0"/>
    </font>
    <font>
      <b/>
      <sz val="10"/>
      <name val="Times New Roman Cyr"/>
      <family val="1"/>
    </font>
    <font>
      <sz val="12.5"/>
      <name val="Times New Roman CYR"/>
      <family val="0"/>
    </font>
    <font>
      <sz val="12.5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sz val="19"/>
      <color indexed="10"/>
      <name val="Times New Roman"/>
      <family val="1"/>
    </font>
    <font>
      <b/>
      <sz val="19"/>
      <color indexed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>
      <alignment vertical="top"/>
      <protection/>
    </xf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77" fontId="2" fillId="0" borderId="12" xfId="66" applyNumberFormat="1" applyFont="1" applyBorder="1" applyAlignment="1">
      <alignment horizontal="center" vertical="center" wrapText="1"/>
    </xf>
    <xf numFmtId="177" fontId="2" fillId="0" borderId="12" xfId="66" applyNumberFormat="1" applyFont="1" applyFill="1" applyBorder="1" applyAlignment="1">
      <alignment horizontal="center" vertical="center" wrapText="1"/>
    </xf>
    <xf numFmtId="177" fontId="4" fillId="0" borderId="12" xfId="66" applyNumberFormat="1" applyFont="1" applyBorder="1" applyAlignment="1">
      <alignment horizontal="center" vertical="center" wrapText="1"/>
    </xf>
    <xf numFmtId="177" fontId="2" fillId="0" borderId="13" xfId="66" applyNumberFormat="1" applyFont="1" applyFill="1" applyBorder="1" applyAlignment="1" applyProtection="1">
      <alignment horizontal="center" vertical="center"/>
      <protection/>
    </xf>
    <xf numFmtId="177" fontId="2" fillId="0" borderId="12" xfId="66" applyNumberFormat="1" applyFont="1" applyFill="1" applyBorder="1" applyAlignment="1" applyProtection="1">
      <alignment horizontal="center" vertical="center"/>
      <protection/>
    </xf>
    <xf numFmtId="177" fontId="4" fillId="0" borderId="12" xfId="66" applyNumberFormat="1" applyFont="1" applyFill="1" applyBorder="1" applyAlignment="1" applyProtection="1">
      <alignment horizontal="center" vertical="center"/>
      <protection/>
    </xf>
    <xf numFmtId="177" fontId="8" fillId="0" borderId="12" xfId="66" applyNumberFormat="1" applyFont="1" applyBorder="1" applyAlignment="1">
      <alignment horizontal="center" vertical="center"/>
    </xf>
    <xf numFmtId="177" fontId="9" fillId="0" borderId="12" xfId="66" applyNumberFormat="1" applyFont="1" applyBorder="1" applyAlignment="1">
      <alignment horizontal="center" vertical="center"/>
    </xf>
    <xf numFmtId="177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7" fontId="16" fillId="0" borderId="0" xfId="66" applyNumberFormat="1" applyFont="1" applyBorder="1" applyAlignment="1">
      <alignment vertical="center"/>
    </xf>
    <xf numFmtId="177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24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205" fontId="15" fillId="0" borderId="13" xfId="66" applyNumberFormat="1" applyFont="1" applyBorder="1" applyAlignment="1">
      <alignment vertical="center" wrapText="1"/>
    </xf>
    <xf numFmtId="205" fontId="15" fillId="0" borderId="12" xfId="66" applyNumberFormat="1" applyFont="1" applyBorder="1" applyAlignment="1">
      <alignment vertical="center" wrapText="1"/>
    </xf>
    <xf numFmtId="205" fontId="16" fillId="0" borderId="12" xfId="66" applyNumberFormat="1" applyFont="1" applyBorder="1" applyAlignment="1">
      <alignment vertical="center"/>
    </xf>
    <xf numFmtId="205" fontId="16" fillId="0" borderId="12" xfId="66" applyNumberFormat="1" applyFont="1" applyBorder="1" applyAlignment="1">
      <alignment vertical="center" wrapText="1"/>
    </xf>
    <xf numFmtId="205" fontId="16" fillId="0" borderId="16" xfId="66" applyNumberFormat="1" applyFont="1" applyBorder="1" applyAlignment="1">
      <alignment vertical="center" wrapText="1"/>
    </xf>
    <xf numFmtId="205" fontId="16" fillId="0" borderId="16" xfId="66" applyNumberFormat="1" applyFont="1" applyBorder="1" applyAlignment="1">
      <alignment vertical="center"/>
    </xf>
    <xf numFmtId="205" fontId="15" fillId="0" borderId="13" xfId="66" applyNumberFormat="1" applyFont="1" applyBorder="1" applyAlignment="1">
      <alignment vertical="center"/>
    </xf>
    <xf numFmtId="205" fontId="16" fillId="0" borderId="12" xfId="0" applyNumberFormat="1" applyFont="1" applyBorder="1" applyAlignment="1">
      <alignment/>
    </xf>
    <xf numFmtId="205" fontId="16" fillId="0" borderId="17" xfId="66" applyNumberFormat="1" applyFont="1" applyBorder="1" applyAlignment="1">
      <alignment vertical="center"/>
    </xf>
    <xf numFmtId="205" fontId="16" fillId="0" borderId="17" xfId="66" applyNumberFormat="1" applyFont="1" applyBorder="1" applyAlignment="1">
      <alignment vertical="center" wrapText="1"/>
    </xf>
    <xf numFmtId="205" fontId="15" fillId="0" borderId="12" xfId="66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205" fontId="36" fillId="0" borderId="12" xfId="66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6" fillId="0" borderId="12" xfId="0" applyNumberFormat="1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177" fontId="7" fillId="0" borderId="0" xfId="66" applyNumberFormat="1" applyFont="1" applyBorder="1" applyAlignment="1">
      <alignment vertical="center"/>
    </xf>
    <xf numFmtId="205" fontId="9" fillId="0" borderId="0" xfId="0" applyNumberFormat="1" applyFont="1" applyAlignment="1">
      <alignment/>
    </xf>
    <xf numFmtId="205" fontId="16" fillId="0" borderId="12" xfId="66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0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200" fontId="2" fillId="0" borderId="12" xfId="0" applyNumberFormat="1" applyFont="1" applyFill="1" applyBorder="1" applyAlignment="1">
      <alignment vertical="center" wrapText="1"/>
    </xf>
    <xf numFmtId="200" fontId="2" fillId="0" borderId="12" xfId="0" applyNumberFormat="1" applyFont="1" applyFill="1" applyBorder="1" applyAlignment="1">
      <alignment horizontal="left" vertical="center" wrapText="1"/>
    </xf>
    <xf numFmtId="200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77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01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24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201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200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77" fontId="4" fillId="0" borderId="12" xfId="66" applyNumberFormat="1" applyFont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>
      <alignment/>
    </xf>
    <xf numFmtId="205" fontId="37" fillId="0" borderId="12" xfId="66" applyNumberFormat="1" applyFont="1" applyBorder="1" applyAlignment="1">
      <alignment vertical="center"/>
    </xf>
    <xf numFmtId="49" fontId="16" fillId="0" borderId="25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 wrapText="1"/>
    </xf>
    <xf numFmtId="205" fontId="16" fillId="0" borderId="25" xfId="66" applyNumberFormat="1" applyFont="1" applyBorder="1" applyAlignment="1">
      <alignment vertical="center"/>
    </xf>
    <xf numFmtId="205" fontId="16" fillId="0" borderId="25" xfId="66" applyNumberFormat="1" applyFont="1" applyBorder="1" applyAlignment="1">
      <alignment vertical="center" wrapText="1"/>
    </xf>
    <xf numFmtId="205" fontId="16" fillId="0" borderId="13" xfId="66" applyNumberFormat="1" applyFont="1" applyBorder="1" applyAlignment="1">
      <alignment vertical="center"/>
    </xf>
    <xf numFmtId="205" fontId="16" fillId="0" borderId="13" xfId="66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/>
    </xf>
    <xf numFmtId="0" fontId="6" fillId="0" borderId="26" xfId="0" applyFont="1" applyBorder="1" applyAlignment="1">
      <alignment horizontal="right" wrapText="1"/>
    </xf>
    <xf numFmtId="3" fontId="6" fillId="24" borderId="12" xfId="0" applyNumberFormat="1" applyFont="1" applyFill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3" fontId="6" fillId="24" borderId="17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3" fontId="6" fillId="0" borderId="28" xfId="0" applyNumberFormat="1" applyFont="1" applyBorder="1" applyAlignment="1">
      <alignment horizontal="center"/>
    </xf>
    <xf numFmtId="3" fontId="6" fillId="24" borderId="28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77" fontId="2" fillId="0" borderId="12" xfId="68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77" fontId="0" fillId="0" borderId="0" xfId="0" applyNumberFormat="1" applyAlignment="1">
      <alignment/>
    </xf>
    <xf numFmtId="0" fontId="2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vertical="center"/>
    </xf>
    <xf numFmtId="177" fontId="2" fillId="0" borderId="12" xfId="68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177" fontId="4" fillId="0" borderId="12" xfId="68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77" fontId="5" fillId="0" borderId="12" xfId="68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top" wrapText="1"/>
    </xf>
    <xf numFmtId="177" fontId="5" fillId="0" borderId="12" xfId="68" applyNumberFormat="1" applyFont="1" applyFill="1" applyBorder="1" applyAlignment="1" applyProtection="1">
      <alignment horizontal="center" vertical="center"/>
      <protection/>
    </xf>
    <xf numFmtId="177" fontId="6" fillId="0" borderId="12" xfId="68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77" fontId="26" fillId="0" borderId="12" xfId="68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/>
    </xf>
    <xf numFmtId="205" fontId="7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9" fillId="0" borderId="0" xfId="0" applyFont="1" applyAlignment="1">
      <alignment/>
    </xf>
    <xf numFmtId="0" fontId="16" fillId="0" borderId="0" xfId="0" applyFont="1" applyAlignment="1">
      <alignment wrapText="1"/>
    </xf>
    <xf numFmtId="205" fontId="8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33" fillId="24" borderId="33" xfId="0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26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left" vertical="center" wrapText="1"/>
    </xf>
    <xf numFmtId="205" fontId="10" fillId="0" borderId="0" xfId="0" applyNumberFormat="1" applyFont="1" applyAlignment="1">
      <alignment/>
    </xf>
    <xf numFmtId="1" fontId="6" fillId="0" borderId="12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38" fillId="0" borderId="34" xfId="0" applyNumberFormat="1" applyFont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9" fontId="33" fillId="24" borderId="1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0" fontId="33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24" borderId="42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4" fillId="0" borderId="18" xfId="58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/>
    </xf>
    <xf numFmtId="0" fontId="6" fillId="0" borderId="44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/>
    </xf>
    <xf numFmtId="0" fontId="6" fillId="0" borderId="5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32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3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33" fillId="0" borderId="33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27" xfId="0" applyFont="1" applyBorder="1" applyAlignment="1">
      <alignment/>
    </xf>
    <xf numFmtId="0" fontId="0" fillId="0" borderId="55" xfId="0" applyBorder="1" applyAlignment="1">
      <alignment/>
    </xf>
    <xf numFmtId="0" fontId="32" fillId="0" borderId="56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wrapText="1"/>
    </xf>
    <xf numFmtId="0" fontId="0" fillId="0" borderId="13" xfId="0" applyBorder="1" applyAlignment="1">
      <alignment wrapText="1"/>
    </xf>
    <xf numFmtId="0" fontId="33" fillId="24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59" xfId="0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38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24" borderId="2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49" fontId="6" fillId="0" borderId="2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wrapText="1"/>
    </xf>
    <xf numFmtId="0" fontId="26" fillId="0" borderId="17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vertical="center"/>
    </xf>
    <xf numFmtId="200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200" fontId="2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20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view="pageBreakPreview" zoomScaleSheetLayoutView="100" zoomScalePageLayoutView="0" workbookViewId="0" topLeftCell="A1">
      <selection activeCell="D5" sqref="D5:F5"/>
    </sheetView>
  </sheetViews>
  <sheetFormatPr defaultColWidth="9.00390625" defaultRowHeight="12.75"/>
  <cols>
    <col min="1" max="1" width="19.875" style="0" customWidth="1"/>
    <col min="2" max="2" width="41.375" style="0" customWidth="1"/>
    <col min="3" max="3" width="21.25390625" style="0" customWidth="1"/>
    <col min="4" max="4" width="21.75390625" style="0" customWidth="1"/>
    <col min="5" max="5" width="20.00390625" style="0" customWidth="1"/>
    <col min="6" max="6" width="18.125" style="0" customWidth="1"/>
    <col min="7" max="7" width="14.25390625" style="0" bestFit="1" customWidth="1"/>
    <col min="8" max="8" width="16.25390625" style="0" bestFit="1" customWidth="1"/>
  </cols>
  <sheetData>
    <row r="1" spans="1:6" ht="18.75">
      <c r="A1" s="331"/>
      <c r="B1" s="238"/>
      <c r="E1" s="239" t="s">
        <v>275</v>
      </c>
      <c r="F1" s="30"/>
    </row>
    <row r="2" spans="1:6" ht="19.5" customHeight="1">
      <c r="A2" s="331"/>
      <c r="B2" s="238"/>
      <c r="D2" s="240"/>
      <c r="E2" s="46" t="s">
        <v>216</v>
      </c>
      <c r="F2" s="46"/>
    </row>
    <row r="3" spans="1:6" ht="18.75">
      <c r="A3" s="331"/>
      <c r="B3" s="238"/>
      <c r="D3" s="240"/>
      <c r="E3" s="30" t="s">
        <v>170</v>
      </c>
      <c r="F3" s="31"/>
    </row>
    <row r="4" spans="1:6" ht="18.75">
      <c r="A4" s="331"/>
      <c r="B4" s="238"/>
      <c r="D4" s="240"/>
      <c r="E4" s="30" t="s">
        <v>217</v>
      </c>
      <c r="F4" s="31"/>
    </row>
    <row r="5" spans="1:6" ht="15">
      <c r="A5" s="331"/>
      <c r="B5" s="238"/>
      <c r="D5" s="332"/>
      <c r="E5" s="332"/>
      <c r="F5" s="332"/>
    </row>
    <row r="6" spans="1:6" ht="15">
      <c r="A6" s="331"/>
      <c r="B6" s="238"/>
      <c r="D6" s="241"/>
      <c r="E6" s="241"/>
      <c r="F6" s="4"/>
    </row>
    <row r="7" ht="12.75">
      <c r="A7" s="5"/>
    </row>
    <row r="8" spans="2:6" ht="45" customHeight="1">
      <c r="B8" s="333" t="s">
        <v>63</v>
      </c>
      <c r="C8" s="334"/>
      <c r="D8" s="334"/>
      <c r="E8" s="334"/>
      <c r="F8" s="242"/>
    </row>
    <row r="9" spans="1:6" ht="18.75">
      <c r="A9" s="203">
        <v>21528000000</v>
      </c>
      <c r="B9" s="243"/>
      <c r="C9" s="243"/>
      <c r="D9" s="243"/>
      <c r="E9" s="243"/>
      <c r="F9" s="243"/>
    </row>
    <row r="10" ht="12.75">
      <c r="A10" s="205" t="s">
        <v>296</v>
      </c>
    </row>
    <row r="11" ht="15.75">
      <c r="F11" s="244" t="s">
        <v>276</v>
      </c>
    </row>
    <row r="12" ht="15.75">
      <c r="F12" s="244"/>
    </row>
    <row r="13" spans="1:6" ht="15.75">
      <c r="A13" s="335" t="s">
        <v>277</v>
      </c>
      <c r="B13" s="335" t="s">
        <v>64</v>
      </c>
      <c r="C13" s="335" t="s">
        <v>278</v>
      </c>
      <c r="D13" s="335" t="s">
        <v>279</v>
      </c>
      <c r="E13" s="335" t="s">
        <v>280</v>
      </c>
      <c r="F13" s="335"/>
    </row>
    <row r="14" spans="1:6" ht="31.5">
      <c r="A14" s="335"/>
      <c r="B14" s="335"/>
      <c r="C14" s="335"/>
      <c r="D14" s="335"/>
      <c r="E14" s="26" t="s">
        <v>281</v>
      </c>
      <c r="F14" s="26" t="s">
        <v>282</v>
      </c>
    </row>
    <row r="15" spans="1:6" ht="12.75">
      <c r="A15" s="245">
        <v>1</v>
      </c>
      <c r="B15" s="245">
        <v>2</v>
      </c>
      <c r="C15" s="245">
        <v>3</v>
      </c>
      <c r="D15" s="245">
        <v>4</v>
      </c>
      <c r="E15" s="245">
        <v>5</v>
      </c>
      <c r="F15" s="245">
        <v>6</v>
      </c>
    </row>
    <row r="16" spans="1:6" ht="15.75">
      <c r="A16" s="26">
        <v>10000000</v>
      </c>
      <c r="B16" s="246" t="s">
        <v>65</v>
      </c>
      <c r="C16" s="247">
        <f>D16+E16</f>
        <v>366590841</v>
      </c>
      <c r="D16" s="247">
        <f>D17+D25+D28+D34+D53</f>
        <v>366430841</v>
      </c>
      <c r="E16" s="247">
        <f>E17+E25+E28+E34+E53</f>
        <v>160000</v>
      </c>
      <c r="F16" s="247"/>
    </row>
    <row r="17" spans="1:8" ht="47.25">
      <c r="A17" s="248">
        <v>11000000</v>
      </c>
      <c r="B17" s="249" t="s">
        <v>66</v>
      </c>
      <c r="C17" s="247">
        <f aca="true" t="shared" si="0" ref="C17:C92">D17+E17</f>
        <v>233444099</v>
      </c>
      <c r="D17" s="247">
        <f>D18+D23</f>
        <v>233444099</v>
      </c>
      <c r="E17" s="247"/>
      <c r="F17" s="247"/>
      <c r="H17" s="250"/>
    </row>
    <row r="18" spans="1:6" ht="15.75">
      <c r="A18" s="248">
        <v>11010000</v>
      </c>
      <c r="B18" s="249" t="s">
        <v>67</v>
      </c>
      <c r="C18" s="247">
        <f t="shared" si="0"/>
        <v>233436099</v>
      </c>
      <c r="D18" s="247">
        <f>SUM(D19:D22)</f>
        <v>233436099</v>
      </c>
      <c r="E18" s="247"/>
      <c r="F18" s="247"/>
    </row>
    <row r="19" spans="1:6" ht="78" customHeight="1">
      <c r="A19" s="248">
        <v>11010100</v>
      </c>
      <c r="B19" s="249" t="s">
        <v>76</v>
      </c>
      <c r="C19" s="247">
        <f t="shared" si="0"/>
        <v>169318201</v>
      </c>
      <c r="D19" s="247">
        <f>166444397+2203990+40000+629814</f>
        <v>169318201</v>
      </c>
      <c r="E19" s="247"/>
      <c r="F19" s="247"/>
    </row>
    <row r="20" spans="1:6" ht="99.75" customHeight="1">
      <c r="A20" s="248">
        <v>11010200</v>
      </c>
      <c r="B20" s="249" t="s">
        <v>77</v>
      </c>
      <c r="C20" s="247">
        <f t="shared" si="0"/>
        <v>54992898</v>
      </c>
      <c r="D20" s="247">
        <f>48015000+2634330+1285346+861070+997152+1200000</f>
        <v>54992898</v>
      </c>
      <c r="E20" s="247"/>
      <c r="F20" s="247"/>
    </row>
    <row r="21" spans="1:6" ht="63">
      <c r="A21" s="248">
        <v>11010400</v>
      </c>
      <c r="B21" s="249" t="s">
        <v>78</v>
      </c>
      <c r="C21" s="247">
        <f t="shared" si="0"/>
        <v>6131600</v>
      </c>
      <c r="D21" s="247">
        <v>6131600</v>
      </c>
      <c r="E21" s="247"/>
      <c r="F21" s="247"/>
    </row>
    <row r="22" spans="1:6" ht="47.25">
      <c r="A22" s="248">
        <v>11010500</v>
      </c>
      <c r="B22" s="249" t="s">
        <v>79</v>
      </c>
      <c r="C22" s="247">
        <f t="shared" si="0"/>
        <v>2993400</v>
      </c>
      <c r="D22" s="247">
        <v>2993400</v>
      </c>
      <c r="E22" s="247"/>
      <c r="F22" s="247"/>
    </row>
    <row r="23" spans="1:6" ht="15.75">
      <c r="A23" s="248">
        <v>11020000</v>
      </c>
      <c r="B23" s="249" t="s">
        <v>80</v>
      </c>
      <c r="C23" s="247">
        <f t="shared" si="0"/>
        <v>8000</v>
      </c>
      <c r="D23" s="247">
        <f>D24</f>
        <v>8000</v>
      </c>
      <c r="E23" s="247"/>
      <c r="F23" s="247"/>
    </row>
    <row r="24" spans="1:6" ht="47.25">
      <c r="A24" s="248">
        <v>11020200</v>
      </c>
      <c r="B24" s="249" t="s">
        <v>81</v>
      </c>
      <c r="C24" s="247">
        <f t="shared" si="0"/>
        <v>8000</v>
      </c>
      <c r="D24" s="247">
        <v>8000</v>
      </c>
      <c r="E24" s="247"/>
      <c r="F24" s="247"/>
    </row>
    <row r="25" spans="1:6" ht="31.5">
      <c r="A25" s="248">
        <v>13000000</v>
      </c>
      <c r="B25" s="249" t="s">
        <v>82</v>
      </c>
      <c r="C25" s="247">
        <f t="shared" si="0"/>
        <v>81000</v>
      </c>
      <c r="D25" s="247">
        <f>D26</f>
        <v>81000</v>
      </c>
      <c r="E25" s="247"/>
      <c r="F25" s="247"/>
    </row>
    <row r="26" spans="1:6" ht="15.75">
      <c r="A26" s="248">
        <v>13030000</v>
      </c>
      <c r="B26" s="251" t="s">
        <v>83</v>
      </c>
      <c r="C26" s="247">
        <f t="shared" si="0"/>
        <v>81000</v>
      </c>
      <c r="D26" s="247">
        <f>D27</f>
        <v>81000</v>
      </c>
      <c r="E26" s="247"/>
      <c r="F26" s="247"/>
    </row>
    <row r="27" spans="1:8" ht="47.25">
      <c r="A27" s="248">
        <v>13030100</v>
      </c>
      <c r="B27" s="249" t="s">
        <v>84</v>
      </c>
      <c r="C27" s="247">
        <f t="shared" si="0"/>
        <v>81000</v>
      </c>
      <c r="D27" s="247">
        <v>81000</v>
      </c>
      <c r="E27" s="247"/>
      <c r="F27" s="247"/>
      <c r="H27" s="250"/>
    </row>
    <row r="28" spans="1:6" ht="15.75">
      <c r="A28" s="248">
        <v>14000000</v>
      </c>
      <c r="B28" s="249" t="s">
        <v>85</v>
      </c>
      <c r="C28" s="247">
        <f t="shared" si="0"/>
        <v>43514942</v>
      </c>
      <c r="D28" s="247">
        <f>D33+D29+D31</f>
        <v>43514942</v>
      </c>
      <c r="E28" s="247"/>
      <c r="F28" s="247"/>
    </row>
    <row r="29" spans="1:6" ht="31.5">
      <c r="A29" s="248">
        <v>14020000</v>
      </c>
      <c r="B29" s="249" t="s">
        <v>86</v>
      </c>
      <c r="C29" s="247">
        <f t="shared" si="0"/>
        <v>3018100</v>
      </c>
      <c r="D29" s="247">
        <f>D30</f>
        <v>3018100</v>
      </c>
      <c r="E29" s="247"/>
      <c r="F29" s="247"/>
    </row>
    <row r="30" spans="1:6" ht="15.75">
      <c r="A30" s="248">
        <v>14021900</v>
      </c>
      <c r="B30" s="249" t="s">
        <v>87</v>
      </c>
      <c r="C30" s="247">
        <f t="shared" si="0"/>
        <v>3018100</v>
      </c>
      <c r="D30" s="247">
        <v>3018100</v>
      </c>
      <c r="E30" s="247"/>
      <c r="F30" s="247"/>
    </row>
    <row r="31" spans="1:8" ht="47.25">
      <c r="A31" s="248">
        <v>14030000</v>
      </c>
      <c r="B31" s="249" t="s">
        <v>88</v>
      </c>
      <c r="C31" s="247">
        <f t="shared" si="0"/>
        <v>12996000</v>
      </c>
      <c r="D31" s="247">
        <f>D32</f>
        <v>12996000</v>
      </c>
      <c r="E31" s="247"/>
      <c r="F31" s="247"/>
      <c r="H31">
        <f>D29+D31</f>
        <v>16014100</v>
      </c>
    </row>
    <row r="32" spans="1:6" ht="15.75">
      <c r="A32" s="248">
        <v>14031900</v>
      </c>
      <c r="B32" s="249" t="s">
        <v>87</v>
      </c>
      <c r="C32" s="247">
        <f t="shared" si="0"/>
        <v>12996000</v>
      </c>
      <c r="D32" s="247">
        <v>12996000</v>
      </c>
      <c r="E32" s="247"/>
      <c r="F32" s="247"/>
    </row>
    <row r="33" spans="1:6" ht="47.25">
      <c r="A33" s="248">
        <v>14040000</v>
      </c>
      <c r="B33" s="249" t="s">
        <v>89</v>
      </c>
      <c r="C33" s="247">
        <f t="shared" si="0"/>
        <v>27500842</v>
      </c>
      <c r="D33" s="247">
        <f>22867300+4589542+44000</f>
        <v>27500842</v>
      </c>
      <c r="E33" s="247"/>
      <c r="F33" s="247"/>
    </row>
    <row r="34" spans="1:8" ht="15.75">
      <c r="A34" s="248">
        <v>18000000</v>
      </c>
      <c r="B34" s="249" t="s">
        <v>90</v>
      </c>
      <c r="C34" s="247">
        <f t="shared" si="0"/>
        <v>89390800</v>
      </c>
      <c r="D34" s="247">
        <f>D35+D46+D49</f>
        <v>89390800</v>
      </c>
      <c r="E34" s="247"/>
      <c r="F34" s="247"/>
      <c r="H34" s="250"/>
    </row>
    <row r="35" spans="1:6" ht="15.75">
      <c r="A35" s="248">
        <v>18010000</v>
      </c>
      <c r="B35" s="249" t="s">
        <v>91</v>
      </c>
      <c r="C35" s="247">
        <f t="shared" si="0"/>
        <v>41095300</v>
      </c>
      <c r="D35" s="247">
        <f>SUM(D36:D45)</f>
        <v>41095300</v>
      </c>
      <c r="E35" s="247"/>
      <c r="F35" s="247"/>
    </row>
    <row r="36" spans="1:6" ht="63">
      <c r="A36" s="248">
        <v>18010100</v>
      </c>
      <c r="B36" s="27" t="s">
        <v>92</v>
      </c>
      <c r="C36" s="247">
        <f t="shared" si="0"/>
        <v>64400</v>
      </c>
      <c r="D36" s="247">
        <v>64400</v>
      </c>
      <c r="E36" s="247"/>
      <c r="F36" s="247"/>
    </row>
    <row r="37" spans="1:6" ht="75.75" customHeight="1">
      <c r="A37" s="248">
        <v>18010200</v>
      </c>
      <c r="B37" s="27" t="s">
        <v>93</v>
      </c>
      <c r="C37" s="247">
        <f t="shared" si="0"/>
        <v>380900</v>
      </c>
      <c r="D37" s="247">
        <v>380900</v>
      </c>
      <c r="E37" s="247"/>
      <c r="F37" s="247"/>
    </row>
    <row r="38" spans="1:6" ht="74.25" customHeight="1">
      <c r="A38" s="248">
        <v>18010300</v>
      </c>
      <c r="B38" s="27" t="s">
        <v>94</v>
      </c>
      <c r="C38" s="247">
        <f t="shared" si="0"/>
        <v>510700</v>
      </c>
      <c r="D38" s="247">
        <v>510700</v>
      </c>
      <c r="E38" s="247"/>
      <c r="F38" s="247"/>
    </row>
    <row r="39" spans="1:6" ht="63">
      <c r="A39" s="248">
        <v>18010400</v>
      </c>
      <c r="B39" s="27" t="s">
        <v>95</v>
      </c>
      <c r="C39" s="247">
        <f t="shared" si="0"/>
        <v>2230400</v>
      </c>
      <c r="D39" s="247">
        <v>2230400</v>
      </c>
      <c r="E39" s="247"/>
      <c r="F39" s="247"/>
    </row>
    <row r="40" spans="1:6" ht="15.75">
      <c r="A40" s="248">
        <v>18010500</v>
      </c>
      <c r="B40" s="27" t="s">
        <v>96</v>
      </c>
      <c r="C40" s="247">
        <f t="shared" si="0"/>
        <v>11276300</v>
      </c>
      <c r="D40" s="247">
        <v>11276300</v>
      </c>
      <c r="E40" s="247"/>
      <c r="F40" s="247"/>
    </row>
    <row r="41" spans="1:6" ht="15.75">
      <c r="A41" s="248">
        <v>18010600</v>
      </c>
      <c r="B41" s="27" t="s">
        <v>97</v>
      </c>
      <c r="C41" s="247">
        <f t="shared" si="0"/>
        <v>18884000</v>
      </c>
      <c r="D41" s="247">
        <v>18884000</v>
      </c>
      <c r="E41" s="247"/>
      <c r="F41" s="247"/>
    </row>
    <row r="42" spans="1:6" ht="15.75">
      <c r="A42" s="248">
        <v>18010700</v>
      </c>
      <c r="B42" s="27" t="s">
        <v>98</v>
      </c>
      <c r="C42" s="247">
        <f t="shared" si="0"/>
        <v>1296100</v>
      </c>
      <c r="D42" s="247">
        <v>1296100</v>
      </c>
      <c r="E42" s="247"/>
      <c r="F42" s="247"/>
    </row>
    <row r="43" spans="1:6" ht="15.75">
      <c r="A43" s="248">
        <v>18010900</v>
      </c>
      <c r="B43" s="27" t="s">
        <v>99</v>
      </c>
      <c r="C43" s="247">
        <f t="shared" si="0"/>
        <v>6177500</v>
      </c>
      <c r="D43" s="247">
        <v>6177500</v>
      </c>
      <c r="E43" s="247"/>
      <c r="F43" s="247"/>
    </row>
    <row r="44" spans="1:6" ht="15.75">
      <c r="A44" s="248">
        <v>18011000</v>
      </c>
      <c r="B44" s="27" t="s">
        <v>100</v>
      </c>
      <c r="C44" s="247">
        <f t="shared" si="0"/>
        <v>175000</v>
      </c>
      <c r="D44" s="247">
        <v>175000</v>
      </c>
      <c r="E44" s="247"/>
      <c r="F44" s="247"/>
    </row>
    <row r="45" spans="1:6" ht="31.5">
      <c r="A45" s="248">
        <v>18011100</v>
      </c>
      <c r="B45" s="197" t="s">
        <v>101</v>
      </c>
      <c r="C45" s="247">
        <f t="shared" si="0"/>
        <v>100000</v>
      </c>
      <c r="D45" s="247">
        <v>100000</v>
      </c>
      <c r="E45" s="247"/>
      <c r="F45" s="247"/>
    </row>
    <row r="46" spans="1:6" ht="15.75">
      <c r="A46" s="248">
        <v>18030000</v>
      </c>
      <c r="B46" s="197" t="s">
        <v>102</v>
      </c>
      <c r="C46" s="247">
        <f t="shared" si="0"/>
        <v>136400</v>
      </c>
      <c r="D46" s="247">
        <f>SUM(D47:D48)</f>
        <v>136400</v>
      </c>
      <c r="E46" s="247"/>
      <c r="F46" s="247"/>
    </row>
    <row r="47" spans="1:6" ht="31.5">
      <c r="A47" s="248">
        <v>18030100</v>
      </c>
      <c r="B47" s="197" t="s">
        <v>103</v>
      </c>
      <c r="C47" s="247">
        <f t="shared" si="0"/>
        <v>50600</v>
      </c>
      <c r="D47" s="247">
        <v>50600</v>
      </c>
      <c r="E47" s="247"/>
      <c r="F47" s="247"/>
    </row>
    <row r="48" spans="1:6" ht="31.5">
      <c r="A48" s="248">
        <v>18030200</v>
      </c>
      <c r="B48" s="197" t="s">
        <v>104</v>
      </c>
      <c r="C48" s="247">
        <f t="shared" si="0"/>
        <v>85800</v>
      </c>
      <c r="D48" s="247">
        <v>85800</v>
      </c>
      <c r="E48" s="247"/>
      <c r="F48" s="247"/>
    </row>
    <row r="49" spans="1:6" ht="15.75">
      <c r="A49" s="248">
        <v>18050000</v>
      </c>
      <c r="B49" s="252" t="s">
        <v>105</v>
      </c>
      <c r="C49" s="247">
        <f t="shared" si="0"/>
        <v>48159100</v>
      </c>
      <c r="D49" s="247">
        <f>SUM(D50:D52)</f>
        <v>48159100</v>
      </c>
      <c r="E49" s="247"/>
      <c r="F49" s="247"/>
    </row>
    <row r="50" spans="1:6" ht="15.75">
      <c r="A50" s="248">
        <v>18050300</v>
      </c>
      <c r="B50" s="252" t="s">
        <v>106</v>
      </c>
      <c r="C50" s="247">
        <f t="shared" si="0"/>
        <v>8744700</v>
      </c>
      <c r="D50" s="247">
        <v>8744700</v>
      </c>
      <c r="E50" s="247"/>
      <c r="F50" s="247"/>
    </row>
    <row r="51" spans="1:6" ht="15.75">
      <c r="A51" s="248">
        <v>18050400</v>
      </c>
      <c r="B51" s="252" t="s">
        <v>107</v>
      </c>
      <c r="C51" s="247">
        <f t="shared" si="0"/>
        <v>38423800</v>
      </c>
      <c r="D51" s="247">
        <v>38423800</v>
      </c>
      <c r="E51" s="247"/>
      <c r="F51" s="247"/>
    </row>
    <row r="52" spans="1:6" ht="110.25">
      <c r="A52" s="248">
        <v>18050500</v>
      </c>
      <c r="B52" s="27" t="s">
        <v>108</v>
      </c>
      <c r="C52" s="247">
        <f t="shared" si="0"/>
        <v>990600</v>
      </c>
      <c r="D52" s="247">
        <v>990600</v>
      </c>
      <c r="E52" s="247"/>
      <c r="F52" s="247"/>
    </row>
    <row r="53" spans="1:6" ht="15.75">
      <c r="A53" s="248">
        <v>19000000</v>
      </c>
      <c r="B53" s="249" t="s">
        <v>109</v>
      </c>
      <c r="C53" s="247">
        <f t="shared" si="0"/>
        <v>160000</v>
      </c>
      <c r="D53" s="247"/>
      <c r="E53" s="247">
        <f>E54</f>
        <v>160000</v>
      </c>
      <c r="F53" s="247"/>
    </row>
    <row r="54" spans="1:6" ht="15.75">
      <c r="A54" s="248">
        <v>19010000</v>
      </c>
      <c r="B54" s="249" t="s">
        <v>110</v>
      </c>
      <c r="C54" s="247">
        <f t="shared" si="0"/>
        <v>160000</v>
      </c>
      <c r="D54" s="247"/>
      <c r="E54" s="247">
        <f>SUM(E55:E57)</f>
        <v>160000</v>
      </c>
      <c r="F54" s="247"/>
    </row>
    <row r="55" spans="1:6" ht="94.5">
      <c r="A55" s="248">
        <v>19010100</v>
      </c>
      <c r="B55" s="249" t="s">
        <v>111</v>
      </c>
      <c r="C55" s="247">
        <f t="shared" si="0"/>
        <v>31000</v>
      </c>
      <c r="D55" s="247"/>
      <c r="E55" s="253">
        <v>31000</v>
      </c>
      <c r="F55" s="247"/>
    </row>
    <row r="56" spans="1:6" ht="31.5">
      <c r="A56" s="248">
        <v>19010200</v>
      </c>
      <c r="B56" s="249" t="s">
        <v>112</v>
      </c>
      <c r="C56" s="247">
        <f t="shared" si="0"/>
        <v>111000</v>
      </c>
      <c r="D56" s="247"/>
      <c r="E56" s="247">
        <v>111000</v>
      </c>
      <c r="F56" s="247"/>
    </row>
    <row r="57" spans="1:6" ht="63">
      <c r="A57" s="248">
        <v>19010300</v>
      </c>
      <c r="B57" s="249" t="s">
        <v>113</v>
      </c>
      <c r="C57" s="247">
        <f t="shared" si="0"/>
        <v>18000</v>
      </c>
      <c r="D57" s="247"/>
      <c r="E57" s="247">
        <v>18000</v>
      </c>
      <c r="F57" s="247"/>
    </row>
    <row r="58" spans="1:6" ht="15.75">
      <c r="A58" s="26">
        <v>20000000</v>
      </c>
      <c r="B58" s="246" t="s">
        <v>114</v>
      </c>
      <c r="C58" s="247">
        <f t="shared" si="0"/>
        <v>18414420</v>
      </c>
      <c r="D58" s="247">
        <f>D59+D66+D78</f>
        <v>8393472</v>
      </c>
      <c r="E58" s="247">
        <f>E59+E66+E78+E88</f>
        <v>10020948</v>
      </c>
      <c r="F58" s="247">
        <f>F59+F66+F78+F88</f>
        <v>565937</v>
      </c>
    </row>
    <row r="59" spans="1:8" ht="31.5">
      <c r="A59" s="248">
        <v>21000000</v>
      </c>
      <c r="B59" s="249" t="s">
        <v>115</v>
      </c>
      <c r="C59" s="247">
        <f t="shared" si="0"/>
        <v>230972</v>
      </c>
      <c r="D59" s="247">
        <f>D60+D62</f>
        <v>230972</v>
      </c>
      <c r="E59" s="247"/>
      <c r="F59" s="247"/>
      <c r="H59" s="250"/>
    </row>
    <row r="60" spans="1:6" ht="126">
      <c r="A60" s="248">
        <v>21010000</v>
      </c>
      <c r="B60" s="249" t="s">
        <v>116</v>
      </c>
      <c r="C60" s="247">
        <f t="shared" si="0"/>
        <v>60872</v>
      </c>
      <c r="D60" s="247">
        <f>D61</f>
        <v>60872</v>
      </c>
      <c r="E60" s="247"/>
      <c r="F60" s="247"/>
    </row>
    <row r="61" spans="1:6" ht="63">
      <c r="A61" s="248">
        <v>21010300</v>
      </c>
      <c r="B61" s="249" t="s">
        <v>117</v>
      </c>
      <c r="C61" s="247">
        <f t="shared" si="0"/>
        <v>60872</v>
      </c>
      <c r="D61" s="247">
        <f>500+60372</f>
        <v>60872</v>
      </c>
      <c r="E61" s="247"/>
      <c r="F61" s="247"/>
    </row>
    <row r="62" spans="1:6" ht="15.75">
      <c r="A62" s="28">
        <v>21080000</v>
      </c>
      <c r="B62" s="254" t="s">
        <v>118</v>
      </c>
      <c r="C62" s="247">
        <f t="shared" si="0"/>
        <v>170100</v>
      </c>
      <c r="D62" s="247">
        <f>SUM(D63:D65)</f>
        <v>170100</v>
      </c>
      <c r="E62" s="247"/>
      <c r="F62" s="247"/>
    </row>
    <row r="63" spans="1:6" ht="15.75">
      <c r="A63" s="28">
        <v>21081100</v>
      </c>
      <c r="B63" s="197" t="s">
        <v>119</v>
      </c>
      <c r="C63" s="247">
        <f t="shared" si="0"/>
        <v>42800</v>
      </c>
      <c r="D63" s="247">
        <v>42800</v>
      </c>
      <c r="E63" s="247"/>
      <c r="F63" s="247"/>
    </row>
    <row r="64" spans="1:6" ht="63">
      <c r="A64" s="28">
        <v>21081500</v>
      </c>
      <c r="B64" s="197" t="s">
        <v>120</v>
      </c>
      <c r="C64" s="247">
        <f t="shared" si="0"/>
        <v>119000</v>
      </c>
      <c r="D64" s="247">
        <v>119000</v>
      </c>
      <c r="E64" s="247"/>
      <c r="F64" s="247"/>
    </row>
    <row r="65" spans="1:6" ht="31.5">
      <c r="A65" s="28">
        <v>21081700</v>
      </c>
      <c r="B65" s="197" t="s">
        <v>121</v>
      </c>
      <c r="C65" s="247">
        <f t="shared" si="0"/>
        <v>8300</v>
      </c>
      <c r="D65" s="247">
        <v>8300</v>
      </c>
      <c r="E65" s="247"/>
      <c r="F65" s="247"/>
    </row>
    <row r="66" spans="1:6" ht="47.25">
      <c r="A66" s="248">
        <v>22000000</v>
      </c>
      <c r="B66" s="249" t="s">
        <v>122</v>
      </c>
      <c r="C66" s="247">
        <f t="shared" si="0"/>
        <v>7926210</v>
      </c>
      <c r="D66" s="247">
        <f>D67+D72+D74+D77</f>
        <v>7926210</v>
      </c>
      <c r="E66" s="247"/>
      <c r="F66" s="247"/>
    </row>
    <row r="67" spans="1:8" ht="31.5">
      <c r="A67" s="28">
        <v>22010000</v>
      </c>
      <c r="B67" s="197" t="s">
        <v>123</v>
      </c>
      <c r="C67" s="247">
        <f t="shared" si="0"/>
        <v>3752910</v>
      </c>
      <c r="D67" s="247">
        <f>D68+D69+D70+D71</f>
        <v>3752910</v>
      </c>
      <c r="E67" s="247"/>
      <c r="F67" s="247"/>
      <c r="H67" s="250"/>
    </row>
    <row r="68" spans="1:6" ht="63">
      <c r="A68" s="28">
        <v>22010300</v>
      </c>
      <c r="B68" s="197" t="s">
        <v>124</v>
      </c>
      <c r="C68" s="247">
        <f t="shared" si="0"/>
        <v>230000</v>
      </c>
      <c r="D68" s="247">
        <v>230000</v>
      </c>
      <c r="E68" s="247"/>
      <c r="F68" s="247"/>
    </row>
    <row r="69" spans="1:6" ht="31.5">
      <c r="A69" s="28">
        <v>22012500</v>
      </c>
      <c r="B69" s="197" t="s">
        <v>125</v>
      </c>
      <c r="C69" s="247">
        <f t="shared" si="0"/>
        <v>3154100</v>
      </c>
      <c r="D69" s="247">
        <v>3154100</v>
      </c>
      <c r="E69" s="247"/>
      <c r="F69" s="247"/>
    </row>
    <row r="70" spans="1:6" ht="47.25">
      <c r="A70" s="28">
        <v>22012600</v>
      </c>
      <c r="B70" s="197" t="s">
        <v>126</v>
      </c>
      <c r="C70" s="247">
        <f t="shared" si="0"/>
        <v>352000</v>
      </c>
      <c r="D70" s="247">
        <v>352000</v>
      </c>
      <c r="E70" s="247"/>
      <c r="F70" s="247"/>
    </row>
    <row r="71" spans="1:7" ht="141.75">
      <c r="A71" s="28">
        <v>22012900</v>
      </c>
      <c r="B71" s="197" t="s">
        <v>245</v>
      </c>
      <c r="C71" s="247">
        <f t="shared" si="0"/>
        <v>16810</v>
      </c>
      <c r="D71" s="247">
        <v>16810</v>
      </c>
      <c r="E71" s="247"/>
      <c r="F71" s="247"/>
      <c r="G71" s="250"/>
    </row>
    <row r="72" spans="1:6" ht="63">
      <c r="A72" s="248">
        <v>22080000</v>
      </c>
      <c r="B72" s="249" t="s">
        <v>127</v>
      </c>
      <c r="C72" s="247">
        <f t="shared" si="0"/>
        <v>4102000</v>
      </c>
      <c r="D72" s="247">
        <f>D73</f>
        <v>4102000</v>
      </c>
      <c r="E72" s="247"/>
      <c r="F72" s="247"/>
    </row>
    <row r="73" spans="1:6" ht="63">
      <c r="A73" s="248">
        <v>22080400</v>
      </c>
      <c r="B73" s="249" t="s">
        <v>128</v>
      </c>
      <c r="C73" s="247">
        <f t="shared" si="0"/>
        <v>4102000</v>
      </c>
      <c r="D73" s="247">
        <v>4102000</v>
      </c>
      <c r="E73" s="247"/>
      <c r="F73" s="247"/>
    </row>
    <row r="74" spans="1:6" ht="15.75">
      <c r="A74" s="248">
        <v>22090000</v>
      </c>
      <c r="B74" s="249" t="s">
        <v>129</v>
      </c>
      <c r="C74" s="247">
        <f t="shared" si="0"/>
        <v>69300</v>
      </c>
      <c r="D74" s="247">
        <f>SUM(D75:D76)</f>
        <v>69300</v>
      </c>
      <c r="E74" s="247"/>
      <c r="F74" s="247"/>
    </row>
    <row r="75" spans="1:6" ht="63">
      <c r="A75" s="248">
        <v>22090100</v>
      </c>
      <c r="B75" s="249" t="s">
        <v>130</v>
      </c>
      <c r="C75" s="247">
        <f t="shared" si="0"/>
        <v>15300</v>
      </c>
      <c r="D75" s="247">
        <v>15300</v>
      </c>
      <c r="E75" s="247"/>
      <c r="F75" s="247"/>
    </row>
    <row r="76" spans="1:6" ht="63">
      <c r="A76" s="248">
        <v>22090400</v>
      </c>
      <c r="B76" s="249" t="s">
        <v>131</v>
      </c>
      <c r="C76" s="247">
        <f t="shared" si="0"/>
        <v>54000</v>
      </c>
      <c r="D76" s="247">
        <v>54000</v>
      </c>
      <c r="E76" s="247"/>
      <c r="F76" s="247"/>
    </row>
    <row r="77" spans="1:6" ht="126">
      <c r="A77" s="248">
        <v>22130000</v>
      </c>
      <c r="B77" s="249" t="s">
        <v>132</v>
      </c>
      <c r="C77" s="247">
        <f t="shared" si="0"/>
        <v>2000</v>
      </c>
      <c r="D77" s="247">
        <v>2000</v>
      </c>
      <c r="E77" s="247"/>
      <c r="F77" s="247"/>
    </row>
    <row r="78" spans="1:8" ht="15.75">
      <c r="A78" s="248">
        <v>24000000</v>
      </c>
      <c r="B78" s="249" t="s">
        <v>133</v>
      </c>
      <c r="C78" s="247">
        <f t="shared" si="0"/>
        <v>854227</v>
      </c>
      <c r="D78" s="247">
        <f>D79+D80+D85+D87</f>
        <v>236290</v>
      </c>
      <c r="E78" s="247">
        <f>E79+E80+E85+E87</f>
        <v>617937</v>
      </c>
      <c r="F78" s="247">
        <f>F79+F80+F85+F87</f>
        <v>565937</v>
      </c>
      <c r="H78" s="250"/>
    </row>
    <row r="79" spans="1:6" ht="78.75">
      <c r="A79" s="248">
        <v>24030000</v>
      </c>
      <c r="B79" s="249" t="s">
        <v>134</v>
      </c>
      <c r="C79" s="247">
        <f t="shared" si="0"/>
        <v>24200</v>
      </c>
      <c r="D79" s="247">
        <v>24200</v>
      </c>
      <c r="E79" s="247"/>
      <c r="F79" s="247"/>
    </row>
    <row r="80" spans="1:6" ht="15.75">
      <c r="A80" s="248">
        <v>24060000</v>
      </c>
      <c r="B80" s="249" t="s">
        <v>118</v>
      </c>
      <c r="C80" s="247">
        <f t="shared" si="0"/>
        <v>264090</v>
      </c>
      <c r="D80" s="247">
        <f>SUM(D81:D84)</f>
        <v>212090</v>
      </c>
      <c r="E80" s="247">
        <f>SUM(E81:E84)</f>
        <v>52000</v>
      </c>
      <c r="F80" s="247"/>
    </row>
    <row r="81" spans="1:6" ht="15.75">
      <c r="A81" s="248">
        <v>24060300</v>
      </c>
      <c r="B81" s="249" t="s">
        <v>118</v>
      </c>
      <c r="C81" s="247">
        <f t="shared" si="0"/>
        <v>207839</v>
      </c>
      <c r="D81" s="247">
        <f>111700+96139</f>
        <v>207839</v>
      </c>
      <c r="E81" s="247"/>
      <c r="F81" s="247"/>
    </row>
    <row r="82" spans="1:6" ht="31.5">
      <c r="A82" s="248">
        <v>24061600</v>
      </c>
      <c r="B82" s="249" t="s">
        <v>135</v>
      </c>
      <c r="C82" s="247">
        <f t="shared" si="0"/>
        <v>37000</v>
      </c>
      <c r="D82" s="247"/>
      <c r="E82" s="247">
        <v>37000</v>
      </c>
      <c r="F82" s="247"/>
    </row>
    <row r="83" spans="1:6" ht="78.75">
      <c r="A83" s="248">
        <v>24062100</v>
      </c>
      <c r="B83" s="249" t="s">
        <v>136</v>
      </c>
      <c r="C83" s="247">
        <f t="shared" si="0"/>
        <v>15000</v>
      </c>
      <c r="D83" s="247"/>
      <c r="E83" s="247">
        <v>15000</v>
      </c>
      <c r="F83" s="247"/>
    </row>
    <row r="84" spans="1:6" ht="204.75">
      <c r="A84" s="248">
        <v>24062200</v>
      </c>
      <c r="B84" s="249" t="s">
        <v>246</v>
      </c>
      <c r="C84" s="247">
        <f t="shared" si="0"/>
        <v>4251</v>
      </c>
      <c r="D84" s="247">
        <v>4251</v>
      </c>
      <c r="E84" s="247"/>
      <c r="F84" s="247"/>
    </row>
    <row r="85" spans="1:6" ht="31.5">
      <c r="A85" s="248">
        <v>24110000</v>
      </c>
      <c r="B85" s="249" t="s">
        <v>137</v>
      </c>
      <c r="C85" s="247">
        <f t="shared" si="0"/>
        <v>12</v>
      </c>
      <c r="D85" s="247"/>
      <c r="E85" s="247">
        <f>E86</f>
        <v>12</v>
      </c>
      <c r="F85" s="247">
        <f>F86</f>
        <v>12</v>
      </c>
    </row>
    <row r="86" spans="1:6" ht="47.25">
      <c r="A86" s="248">
        <v>24110700</v>
      </c>
      <c r="B86" s="249" t="s">
        <v>138</v>
      </c>
      <c r="C86" s="247">
        <f t="shared" si="0"/>
        <v>12</v>
      </c>
      <c r="D86" s="247"/>
      <c r="E86" s="247">
        <f>F86</f>
        <v>12</v>
      </c>
      <c r="F86" s="247">
        <v>12</v>
      </c>
    </row>
    <row r="87" spans="1:6" ht="47.25">
      <c r="A87" s="248">
        <v>24170000</v>
      </c>
      <c r="B87" s="249" t="s">
        <v>139</v>
      </c>
      <c r="C87" s="247">
        <f t="shared" si="0"/>
        <v>565925</v>
      </c>
      <c r="D87" s="247"/>
      <c r="E87" s="247">
        <f>F87</f>
        <v>565925</v>
      </c>
      <c r="F87" s="247">
        <f>150000+415925</f>
        <v>565925</v>
      </c>
    </row>
    <row r="88" spans="1:6" ht="31.5">
      <c r="A88" s="248">
        <v>25000000</v>
      </c>
      <c r="B88" s="249" t="s">
        <v>140</v>
      </c>
      <c r="C88" s="247">
        <f t="shared" si="0"/>
        <v>9403011</v>
      </c>
      <c r="D88" s="247"/>
      <c r="E88" s="247">
        <f>E89</f>
        <v>9403011</v>
      </c>
      <c r="F88" s="247"/>
    </row>
    <row r="89" spans="1:6" ht="47.25">
      <c r="A89" s="248">
        <v>25010000</v>
      </c>
      <c r="B89" s="249" t="s">
        <v>141</v>
      </c>
      <c r="C89" s="247">
        <f t="shared" si="0"/>
        <v>9403011</v>
      </c>
      <c r="D89" s="247"/>
      <c r="E89" s="247">
        <f>SUM(E90:E92)</f>
        <v>9403011</v>
      </c>
      <c r="F89" s="247"/>
    </row>
    <row r="90" spans="1:6" ht="47.25">
      <c r="A90" s="248">
        <v>25010100</v>
      </c>
      <c r="B90" s="249" t="s">
        <v>142</v>
      </c>
      <c r="C90" s="247">
        <f t="shared" si="0"/>
        <v>9293463</v>
      </c>
      <c r="D90" s="247"/>
      <c r="E90" s="247">
        <f>8855553+437910</f>
        <v>9293463</v>
      </c>
      <c r="F90" s="247"/>
    </row>
    <row r="91" spans="1:6" ht="63">
      <c r="A91" s="248">
        <v>25010300</v>
      </c>
      <c r="B91" s="249" t="s">
        <v>143</v>
      </c>
      <c r="C91" s="247">
        <f t="shared" si="0"/>
        <v>107748</v>
      </c>
      <c r="D91" s="247"/>
      <c r="E91" s="247">
        <f>86748+21000</f>
        <v>107748</v>
      </c>
      <c r="F91" s="247"/>
    </row>
    <row r="92" spans="1:6" ht="47.25">
      <c r="A92" s="248">
        <v>25010400</v>
      </c>
      <c r="B92" s="249" t="s">
        <v>144</v>
      </c>
      <c r="C92" s="247">
        <f t="shared" si="0"/>
        <v>1800</v>
      </c>
      <c r="D92" s="247"/>
      <c r="E92" s="247">
        <v>1800</v>
      </c>
      <c r="F92" s="247"/>
    </row>
    <row r="93" spans="1:6" ht="15.75">
      <c r="A93" s="26">
        <v>30000000</v>
      </c>
      <c r="B93" s="246" t="s">
        <v>145</v>
      </c>
      <c r="C93" s="247">
        <f aca="true" t="shared" si="1" ref="C93:C122">D93+E93</f>
        <v>2744800</v>
      </c>
      <c r="D93" s="247">
        <f>D94+D99</f>
        <v>5800</v>
      </c>
      <c r="E93" s="247">
        <f>E94+E99</f>
        <v>2739000</v>
      </c>
      <c r="F93" s="247">
        <f>F94+F99</f>
        <v>2739000</v>
      </c>
    </row>
    <row r="94" spans="1:6" ht="31.5">
      <c r="A94" s="248">
        <v>31000000</v>
      </c>
      <c r="B94" s="249" t="s">
        <v>146</v>
      </c>
      <c r="C94" s="247">
        <f t="shared" si="1"/>
        <v>644800</v>
      </c>
      <c r="D94" s="247">
        <f>D95+D97+D98</f>
        <v>5800</v>
      </c>
      <c r="E94" s="247">
        <f>E95+E97+E98</f>
        <v>639000</v>
      </c>
      <c r="F94" s="247">
        <f>F95+F97+F98</f>
        <v>639000</v>
      </c>
    </row>
    <row r="95" spans="1:8" ht="114" customHeight="1">
      <c r="A95" s="248">
        <v>31010000</v>
      </c>
      <c r="B95" s="249" t="s">
        <v>147</v>
      </c>
      <c r="C95" s="247">
        <f t="shared" si="1"/>
        <v>4100</v>
      </c>
      <c r="D95" s="247">
        <f>D96+D98</f>
        <v>4100</v>
      </c>
      <c r="E95" s="247"/>
      <c r="F95" s="247"/>
      <c r="H95" s="250"/>
    </row>
    <row r="96" spans="1:6" ht="102" customHeight="1">
      <c r="A96" s="248">
        <v>31010200</v>
      </c>
      <c r="B96" s="249" t="s">
        <v>148</v>
      </c>
      <c r="C96" s="247">
        <f t="shared" si="1"/>
        <v>4100</v>
      </c>
      <c r="D96" s="247">
        <v>4100</v>
      </c>
      <c r="E96" s="247"/>
      <c r="F96" s="247"/>
    </row>
    <row r="97" spans="1:6" ht="54" customHeight="1">
      <c r="A97" s="248">
        <v>31020000</v>
      </c>
      <c r="B97" s="249" t="s">
        <v>149</v>
      </c>
      <c r="C97" s="247">
        <f t="shared" si="1"/>
        <v>1700</v>
      </c>
      <c r="D97" s="247">
        <v>1700</v>
      </c>
      <c r="E97" s="247"/>
      <c r="F97" s="247"/>
    </row>
    <row r="98" spans="1:6" ht="66" customHeight="1">
      <c r="A98" s="248">
        <v>31030000</v>
      </c>
      <c r="B98" s="249" t="s">
        <v>150</v>
      </c>
      <c r="C98" s="247">
        <f t="shared" si="1"/>
        <v>639000</v>
      </c>
      <c r="D98" s="247"/>
      <c r="E98" s="247">
        <f>F98</f>
        <v>639000</v>
      </c>
      <c r="F98" s="247">
        <v>639000</v>
      </c>
    </row>
    <row r="99" spans="1:6" ht="36" customHeight="1">
      <c r="A99" s="248">
        <v>33000000</v>
      </c>
      <c r="B99" s="249" t="s">
        <v>151</v>
      </c>
      <c r="C99" s="247">
        <f t="shared" si="1"/>
        <v>2100000</v>
      </c>
      <c r="D99" s="247"/>
      <c r="E99" s="247">
        <f>E100</f>
        <v>2100000</v>
      </c>
      <c r="F99" s="247">
        <f>F100</f>
        <v>2100000</v>
      </c>
    </row>
    <row r="100" spans="1:6" ht="15.75">
      <c r="A100" s="248">
        <v>33010000</v>
      </c>
      <c r="B100" s="249" t="s">
        <v>152</v>
      </c>
      <c r="C100" s="247">
        <f t="shared" si="1"/>
        <v>2100000</v>
      </c>
      <c r="D100" s="247"/>
      <c r="E100" s="247">
        <f>E101</f>
        <v>2100000</v>
      </c>
      <c r="F100" s="247">
        <f>F101</f>
        <v>2100000</v>
      </c>
    </row>
    <row r="101" spans="1:6" ht="94.5">
      <c r="A101" s="248">
        <v>33010100</v>
      </c>
      <c r="B101" s="249" t="s">
        <v>153</v>
      </c>
      <c r="C101" s="247">
        <f t="shared" si="1"/>
        <v>2100000</v>
      </c>
      <c r="D101" s="247"/>
      <c r="E101" s="247">
        <f>F101</f>
        <v>2100000</v>
      </c>
      <c r="F101" s="247">
        <v>2100000</v>
      </c>
    </row>
    <row r="102" spans="1:6" ht="37.5" customHeight="1">
      <c r="A102" s="26"/>
      <c r="B102" s="255" t="s">
        <v>154</v>
      </c>
      <c r="C102" s="256">
        <f t="shared" si="1"/>
        <v>387750061</v>
      </c>
      <c r="D102" s="256">
        <f>D16+D58+D93</f>
        <v>374830113</v>
      </c>
      <c r="E102" s="256">
        <f>E16+E58+E93</f>
        <v>12919948</v>
      </c>
      <c r="F102" s="256">
        <f>F16+F58+F93</f>
        <v>3304937</v>
      </c>
    </row>
    <row r="103" spans="1:6" ht="21" customHeight="1">
      <c r="A103" s="26">
        <v>40000000</v>
      </c>
      <c r="B103" s="246" t="s">
        <v>155</v>
      </c>
      <c r="C103" s="247">
        <f t="shared" si="1"/>
        <v>159691549</v>
      </c>
      <c r="D103" s="247">
        <f>D104</f>
        <v>159191549</v>
      </c>
      <c r="E103" s="247">
        <f>E104</f>
        <v>500000</v>
      </c>
      <c r="F103" s="247">
        <f>F104</f>
        <v>500000</v>
      </c>
    </row>
    <row r="104" spans="1:6" ht="21" customHeight="1">
      <c r="A104" s="248">
        <v>41000000</v>
      </c>
      <c r="B104" s="249" t="s">
        <v>156</v>
      </c>
      <c r="C104" s="247">
        <f t="shared" si="1"/>
        <v>159691549</v>
      </c>
      <c r="D104" s="247">
        <f>D105+D107+D111+D113</f>
        <v>159191549</v>
      </c>
      <c r="E104" s="247">
        <f>E105+E107+E111+E113</f>
        <v>500000</v>
      </c>
      <c r="F104" s="247">
        <f>F105+F107+F111+F113</f>
        <v>500000</v>
      </c>
    </row>
    <row r="105" spans="1:6" ht="39" customHeight="1">
      <c r="A105" s="248">
        <v>41020000</v>
      </c>
      <c r="B105" s="249" t="s">
        <v>157</v>
      </c>
      <c r="C105" s="247">
        <f t="shared" si="1"/>
        <v>15385300</v>
      </c>
      <c r="D105" s="247">
        <f>D106</f>
        <v>15385300</v>
      </c>
      <c r="E105" s="247"/>
      <c r="F105" s="247"/>
    </row>
    <row r="106" spans="1:6" ht="21.75" customHeight="1">
      <c r="A106" s="248">
        <v>41020100</v>
      </c>
      <c r="B106" s="249" t="s">
        <v>158</v>
      </c>
      <c r="C106" s="247">
        <f t="shared" si="1"/>
        <v>15385300</v>
      </c>
      <c r="D106" s="247">
        <v>15385300</v>
      </c>
      <c r="E106" s="247"/>
      <c r="F106" s="247"/>
    </row>
    <row r="107" spans="1:6" ht="35.25" customHeight="1">
      <c r="A107" s="248">
        <v>41030000</v>
      </c>
      <c r="B107" s="249" t="s">
        <v>159</v>
      </c>
      <c r="C107" s="247">
        <f t="shared" si="1"/>
        <v>130537700</v>
      </c>
      <c r="D107" s="247">
        <f>SUM(D108:D110)</f>
        <v>130537700</v>
      </c>
      <c r="E107" s="247"/>
      <c r="F107" s="247"/>
    </row>
    <row r="108" spans="1:6" ht="36" customHeight="1">
      <c r="A108" s="248">
        <v>41033900</v>
      </c>
      <c r="B108" s="27" t="s">
        <v>160</v>
      </c>
      <c r="C108" s="247">
        <f t="shared" si="1"/>
        <v>116245300</v>
      </c>
      <c r="D108" s="247">
        <f>94732600+19297400+2215300</f>
        <v>116245300</v>
      </c>
      <c r="E108" s="247"/>
      <c r="F108" s="247"/>
    </row>
    <row r="109" spans="1:6" ht="33.75" customHeight="1">
      <c r="A109" s="248">
        <v>41034200</v>
      </c>
      <c r="B109" s="27" t="s">
        <v>161</v>
      </c>
      <c r="C109" s="247">
        <f t="shared" si="1"/>
        <v>13792400</v>
      </c>
      <c r="D109" s="247">
        <v>13792400</v>
      </c>
      <c r="E109" s="247"/>
      <c r="F109" s="247"/>
    </row>
    <row r="110" spans="1:6" ht="70.5" customHeight="1">
      <c r="A110" s="248">
        <v>41034500</v>
      </c>
      <c r="B110" s="27" t="s">
        <v>181</v>
      </c>
      <c r="C110" s="247">
        <f>D110</f>
        <v>500000</v>
      </c>
      <c r="D110" s="247">
        <v>500000</v>
      </c>
      <c r="E110" s="247"/>
      <c r="F110" s="247"/>
    </row>
    <row r="111" spans="1:6" ht="37.5" customHeight="1">
      <c r="A111" s="248">
        <v>41040000</v>
      </c>
      <c r="B111" s="27" t="s">
        <v>162</v>
      </c>
      <c r="C111" s="247">
        <f t="shared" si="1"/>
        <v>1256800</v>
      </c>
      <c r="D111" s="247">
        <f>D112</f>
        <v>1256800</v>
      </c>
      <c r="E111" s="247"/>
      <c r="F111" s="247"/>
    </row>
    <row r="112" spans="1:6" ht="96" customHeight="1">
      <c r="A112" s="248">
        <v>41040200</v>
      </c>
      <c r="B112" s="27" t="s">
        <v>593</v>
      </c>
      <c r="C112" s="247">
        <f t="shared" si="1"/>
        <v>1256800</v>
      </c>
      <c r="D112" s="247">
        <v>1256800</v>
      </c>
      <c r="E112" s="247"/>
      <c r="F112" s="247"/>
    </row>
    <row r="113" spans="1:9" ht="37.5" customHeight="1">
      <c r="A113" s="248">
        <v>41050000</v>
      </c>
      <c r="B113" s="27" t="s">
        <v>163</v>
      </c>
      <c r="C113" s="247">
        <f t="shared" si="1"/>
        <v>12511749</v>
      </c>
      <c r="D113" s="247">
        <f>SUM(D114:D122)</f>
        <v>12011749</v>
      </c>
      <c r="E113" s="247">
        <f>SUM(E114:E122)</f>
        <v>500000</v>
      </c>
      <c r="F113" s="247">
        <f>SUM(F114:F122)</f>
        <v>500000</v>
      </c>
      <c r="H113" s="250">
        <f>C111+C113</f>
        <v>13768549</v>
      </c>
      <c r="I113" s="257"/>
    </row>
    <row r="114" spans="1:6" ht="69" customHeight="1">
      <c r="A114" s="248">
        <v>41051000</v>
      </c>
      <c r="B114" s="27" t="s">
        <v>594</v>
      </c>
      <c r="C114" s="247">
        <f t="shared" si="1"/>
        <v>844767</v>
      </c>
      <c r="D114" s="247">
        <v>844767</v>
      </c>
      <c r="E114" s="247"/>
      <c r="F114" s="247"/>
    </row>
    <row r="115" spans="1:6" ht="69" customHeight="1">
      <c r="A115" s="248">
        <v>41051100</v>
      </c>
      <c r="B115" s="27" t="s">
        <v>164</v>
      </c>
      <c r="C115" s="247">
        <f t="shared" si="1"/>
        <v>812944</v>
      </c>
      <c r="D115" s="247">
        <f>243600+569344</f>
        <v>812944</v>
      </c>
      <c r="E115" s="247"/>
      <c r="F115" s="247"/>
    </row>
    <row r="116" spans="1:6" ht="88.5" customHeight="1">
      <c r="A116" s="248">
        <v>41051200</v>
      </c>
      <c r="B116" s="27" t="s">
        <v>165</v>
      </c>
      <c r="C116" s="247">
        <f t="shared" si="1"/>
        <v>936531</v>
      </c>
      <c r="D116" s="247">
        <f>279900+233250-44583+467964</f>
        <v>936531</v>
      </c>
      <c r="E116" s="247"/>
      <c r="F116" s="247"/>
    </row>
    <row r="117" spans="1:6" ht="97.5" customHeight="1">
      <c r="A117" s="248">
        <v>41051400</v>
      </c>
      <c r="B117" s="27" t="s">
        <v>412</v>
      </c>
      <c r="C117" s="247">
        <f t="shared" si="1"/>
        <v>1730302</v>
      </c>
      <c r="D117" s="247">
        <f>2056740+2418-328856</f>
        <v>1730302</v>
      </c>
      <c r="E117" s="247"/>
      <c r="F117" s="247"/>
    </row>
    <row r="118" spans="1:6" ht="69" customHeight="1">
      <c r="A118" s="248">
        <v>41051500</v>
      </c>
      <c r="B118" s="27" t="s">
        <v>166</v>
      </c>
      <c r="C118" s="247">
        <f t="shared" si="1"/>
        <v>432000</v>
      </c>
      <c r="D118" s="247">
        <v>432000</v>
      </c>
      <c r="E118" s="247"/>
      <c r="F118" s="247"/>
    </row>
    <row r="119" spans="1:6" ht="101.25" customHeight="1">
      <c r="A119" s="248">
        <v>41053000</v>
      </c>
      <c r="B119" s="27" t="s">
        <v>262</v>
      </c>
      <c r="C119" s="247">
        <f t="shared" si="1"/>
        <v>4049630</v>
      </c>
      <c r="D119" s="247">
        <v>4049630</v>
      </c>
      <c r="E119" s="247"/>
      <c r="F119" s="247"/>
    </row>
    <row r="120" spans="1:6" ht="21.75" customHeight="1">
      <c r="A120" s="248">
        <v>41053900</v>
      </c>
      <c r="B120" s="27" t="s">
        <v>167</v>
      </c>
      <c r="C120" s="247">
        <f t="shared" si="1"/>
        <v>647000</v>
      </c>
      <c r="D120" s="247">
        <f>147000+500000-500000</f>
        <v>147000</v>
      </c>
      <c r="E120" s="247">
        <f>F120</f>
        <v>500000</v>
      </c>
      <c r="F120" s="247">
        <v>500000</v>
      </c>
    </row>
    <row r="121" spans="1:6" s="280" customFormat="1" ht="78.75">
      <c r="A121" s="248">
        <v>41054900</v>
      </c>
      <c r="B121" s="279" t="s">
        <v>226</v>
      </c>
      <c r="C121" s="247">
        <f t="shared" si="1"/>
        <v>935007</v>
      </c>
      <c r="D121" s="247">
        <v>935007</v>
      </c>
      <c r="E121" s="247"/>
      <c r="F121" s="247"/>
    </row>
    <row r="122" spans="1:6" ht="78.75">
      <c r="A122" s="248">
        <v>41055000</v>
      </c>
      <c r="B122" s="27" t="s">
        <v>168</v>
      </c>
      <c r="C122" s="247">
        <f t="shared" si="1"/>
        <v>2123568</v>
      </c>
      <c r="D122" s="247">
        <f>1402800+720768</f>
        <v>2123568</v>
      </c>
      <c r="E122" s="247"/>
      <c r="F122" s="247"/>
    </row>
    <row r="123" spans="1:6" ht="18.75">
      <c r="A123" s="258" t="s">
        <v>671</v>
      </c>
      <c r="B123" s="259" t="s">
        <v>169</v>
      </c>
      <c r="C123" s="260">
        <f>D123+E123</f>
        <v>547441610</v>
      </c>
      <c r="D123" s="260">
        <f>D102+D103</f>
        <v>534021662</v>
      </c>
      <c r="E123" s="260">
        <f>E102+E103</f>
        <v>13419948</v>
      </c>
      <c r="F123" s="260">
        <f>F102+F103</f>
        <v>3804937</v>
      </c>
    </row>
    <row r="128" spans="2:6" ht="15.75">
      <c r="B128" s="19"/>
      <c r="C128" s="19"/>
      <c r="D128" s="19"/>
      <c r="E128" s="19"/>
      <c r="F128" s="19"/>
    </row>
    <row r="129" spans="1:5" ht="18.75">
      <c r="A129" s="30" t="s">
        <v>605</v>
      </c>
      <c r="B129" s="30"/>
      <c r="C129" s="30"/>
      <c r="D129" s="31"/>
      <c r="E129" s="30" t="s">
        <v>672</v>
      </c>
    </row>
  </sheetData>
  <sheetProtection/>
  <mergeCells count="8">
    <mergeCell ref="A1:A6"/>
    <mergeCell ref="D5:F5"/>
    <mergeCell ref="B8:E8"/>
    <mergeCell ref="A13:A14"/>
    <mergeCell ref="B13:B14"/>
    <mergeCell ref="C13:C14"/>
    <mergeCell ref="D13:D14"/>
    <mergeCell ref="E13:F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3.375" style="0" customWidth="1"/>
    <col min="2" max="2" width="51.625" style="0" customWidth="1"/>
    <col min="3" max="3" width="11.625" style="0" customWidth="1"/>
    <col min="4" max="4" width="17.125" style="0" customWidth="1"/>
    <col min="5" max="5" width="17.375" style="0" customWidth="1"/>
    <col min="6" max="6" width="17.75390625" style="0" customWidth="1"/>
  </cols>
  <sheetData>
    <row r="1" ht="15">
      <c r="E1" s="4" t="s">
        <v>670</v>
      </c>
    </row>
    <row r="2" spans="5:7" ht="15">
      <c r="E2" s="52" t="s">
        <v>216</v>
      </c>
      <c r="G2" s="2"/>
    </row>
    <row r="3" ht="15">
      <c r="E3" s="4" t="s">
        <v>170</v>
      </c>
    </row>
    <row r="4" ht="15">
      <c r="E4" s="4" t="s">
        <v>217</v>
      </c>
    </row>
    <row r="5" ht="14.25">
      <c r="F5" s="51"/>
    </row>
    <row r="7" spans="1:6" ht="18.75">
      <c r="A7" s="336" t="s">
        <v>621</v>
      </c>
      <c r="B7" s="336"/>
      <c r="C7" s="336"/>
      <c r="D7" s="336"/>
      <c r="E7" s="336"/>
      <c r="F7" s="336"/>
    </row>
    <row r="8" spans="1:6" ht="15.75">
      <c r="A8" s="16"/>
      <c r="B8" s="16"/>
      <c r="C8" s="16"/>
      <c r="D8" s="16"/>
      <c r="E8" s="16"/>
      <c r="F8" s="16"/>
    </row>
    <row r="9" spans="1:6" ht="15.75">
      <c r="A9" s="104" t="s">
        <v>271</v>
      </c>
      <c r="B9" s="16"/>
      <c r="C9" s="16"/>
      <c r="D9" s="16"/>
      <c r="E9" s="16"/>
      <c r="F9" s="16"/>
    </row>
    <row r="10" ht="12.75">
      <c r="A10" s="1" t="s">
        <v>296</v>
      </c>
    </row>
    <row r="11" spans="1:6" ht="12.75">
      <c r="A11" s="5"/>
      <c r="F11" s="6" t="s">
        <v>276</v>
      </c>
    </row>
    <row r="12" ht="13.5" thickBot="1"/>
    <row r="13" spans="1:6" ht="26.25" customHeight="1" thickBot="1">
      <c r="A13" s="337" t="s">
        <v>277</v>
      </c>
      <c r="B13" s="337" t="s">
        <v>297</v>
      </c>
      <c r="C13" s="337" t="s">
        <v>278</v>
      </c>
      <c r="D13" s="337" t="s">
        <v>279</v>
      </c>
      <c r="E13" s="342" t="s">
        <v>280</v>
      </c>
      <c r="F13" s="343"/>
    </row>
    <row r="14" spans="1:6" ht="39" customHeight="1" thickBot="1">
      <c r="A14" s="338"/>
      <c r="B14" s="338"/>
      <c r="C14" s="338"/>
      <c r="D14" s="338"/>
      <c r="E14" s="3" t="s">
        <v>281</v>
      </c>
      <c r="F14" s="3" t="s">
        <v>282</v>
      </c>
    </row>
    <row r="15" spans="1:6" ht="16.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344" t="s">
        <v>283</v>
      </c>
      <c r="B16" s="345"/>
      <c r="C16" s="346"/>
      <c r="D16" s="346"/>
      <c r="E16" s="346"/>
      <c r="F16" s="347"/>
    </row>
    <row r="17" spans="1:6" ht="15.75">
      <c r="A17" s="18">
        <v>200000</v>
      </c>
      <c r="B17" s="19" t="s">
        <v>588</v>
      </c>
      <c r="C17" s="22">
        <f>D17+E17</f>
        <v>24699698</v>
      </c>
      <c r="D17" s="37">
        <f>D18</f>
        <v>-28273433</v>
      </c>
      <c r="E17" s="37">
        <f>E18</f>
        <v>52973131</v>
      </c>
      <c r="F17" s="37">
        <f>F18</f>
        <v>52259173</v>
      </c>
    </row>
    <row r="18" spans="1:6" ht="31.5">
      <c r="A18" s="20">
        <v>208000</v>
      </c>
      <c r="B18" s="21" t="s">
        <v>589</v>
      </c>
      <c r="C18" s="22">
        <f>D18+E18</f>
        <v>24699698</v>
      </c>
      <c r="D18" s="38">
        <f>D20+D19</f>
        <v>-28273433</v>
      </c>
      <c r="E18" s="38">
        <f>E20+E19</f>
        <v>52973131</v>
      </c>
      <c r="F18" s="38">
        <f>F20+F19</f>
        <v>52259173</v>
      </c>
    </row>
    <row r="19" spans="1:6" ht="15.75">
      <c r="A19" s="20">
        <v>208100</v>
      </c>
      <c r="B19" s="21" t="s">
        <v>667</v>
      </c>
      <c r="C19" s="22">
        <f>D19+E19</f>
        <v>24699698</v>
      </c>
      <c r="D19" s="38">
        <f>16262108+2345200+654823+2775</f>
        <v>19264906</v>
      </c>
      <c r="E19" s="38">
        <v>5434792</v>
      </c>
      <c r="F19" s="38">
        <v>4720834</v>
      </c>
    </row>
    <row r="20" spans="1:6" ht="35.25" customHeight="1">
      <c r="A20" s="20">
        <v>208400</v>
      </c>
      <c r="B20" s="21" t="s">
        <v>590</v>
      </c>
      <c r="C20" s="22"/>
      <c r="D20" s="38">
        <f>-35917919-9547267-945200-640437-15300+5204771-40000-18846+797713+748994-791125+454856-1301552-1326364+500000-708269+174825-1000000-618612-1179363-16000-1353244</f>
        <v>-47538339</v>
      </c>
      <c r="E20" s="38">
        <f>F20</f>
        <v>47538339</v>
      </c>
      <c r="F20" s="38">
        <f>35917919+9547267+945200+640437+15300-5204771+40000+18846-797713-748994+791125-454856+1301552+1326364-500000+708269-174825+1000000+618612+1179363+16000+1353244</f>
        <v>47538339</v>
      </c>
    </row>
    <row r="21" spans="1:6" ht="16.5" customHeight="1">
      <c r="A21" s="23" t="s">
        <v>295</v>
      </c>
      <c r="B21" s="24" t="s">
        <v>284</v>
      </c>
      <c r="C21" s="25">
        <f>D21+E21</f>
        <v>24699698</v>
      </c>
      <c r="D21" s="39">
        <f>D17</f>
        <v>-28273433</v>
      </c>
      <c r="E21" s="39">
        <f>E17</f>
        <v>52973131</v>
      </c>
      <c r="F21" s="39">
        <f>F17</f>
        <v>52259173</v>
      </c>
    </row>
    <row r="22" spans="1:6" ht="13.5">
      <c r="A22" s="339" t="s">
        <v>591</v>
      </c>
      <c r="B22" s="340"/>
      <c r="C22" s="340"/>
      <c r="D22" s="340"/>
      <c r="E22" s="340"/>
      <c r="F22" s="341"/>
    </row>
    <row r="23" spans="1:6" ht="15.75">
      <c r="A23" s="20">
        <v>600000</v>
      </c>
      <c r="B23" s="21" t="s">
        <v>285</v>
      </c>
      <c r="C23" s="22">
        <f>D23+E23</f>
        <v>24699698</v>
      </c>
      <c r="D23" s="37">
        <f>D24</f>
        <v>-28273433</v>
      </c>
      <c r="E23" s="37">
        <f>E24</f>
        <v>52973131</v>
      </c>
      <c r="F23" s="37">
        <f>F24</f>
        <v>52259173</v>
      </c>
    </row>
    <row r="24" spans="1:6" ht="15.75">
      <c r="A24" s="20">
        <v>602000</v>
      </c>
      <c r="B24" s="21" t="s">
        <v>592</v>
      </c>
      <c r="C24" s="22">
        <f>D24+E24</f>
        <v>24699698</v>
      </c>
      <c r="D24" s="38">
        <f>D26+D25</f>
        <v>-28273433</v>
      </c>
      <c r="E24" s="38">
        <f>E26+E25</f>
        <v>52973131</v>
      </c>
      <c r="F24" s="38">
        <f>F26+F25</f>
        <v>52259173</v>
      </c>
    </row>
    <row r="25" spans="1:6" ht="15.75">
      <c r="A25" s="20">
        <v>602100</v>
      </c>
      <c r="B25" s="21" t="s">
        <v>667</v>
      </c>
      <c r="C25" s="22">
        <f>D25+E25</f>
        <v>24699698</v>
      </c>
      <c r="D25" s="38">
        <f>16262108+2345200+654823+2775</f>
        <v>19264906</v>
      </c>
      <c r="E25" s="38">
        <v>5434792</v>
      </c>
      <c r="F25" s="38">
        <v>4720834</v>
      </c>
    </row>
    <row r="26" spans="1:6" ht="30" customHeight="1">
      <c r="A26" s="20">
        <v>602400</v>
      </c>
      <c r="B26" s="21" t="s">
        <v>590</v>
      </c>
      <c r="C26" s="22"/>
      <c r="D26" s="38">
        <f>-35917919-9547267-945200-640437-15300+5204771-40000-18846+797713+748994-791125+454856-1301552-1326364+500000-708269+174825-1000000-618612-1179363-16000-1353244</f>
        <v>-47538339</v>
      </c>
      <c r="E26" s="38">
        <f>F26</f>
        <v>47538339</v>
      </c>
      <c r="F26" s="38">
        <f>35917919+9547267+945200+640437+15300-5204771+40000+18846-797713-748994+791125-454856+1301552+1326364-500000+708269-174825+1000000+618612+1179363+16000+1353244</f>
        <v>47538339</v>
      </c>
    </row>
    <row r="27" spans="1:6" ht="15.75">
      <c r="A27" s="23" t="s">
        <v>295</v>
      </c>
      <c r="B27" s="24" t="s">
        <v>284</v>
      </c>
      <c r="C27" s="25">
        <f>D27+E27</f>
        <v>24699698</v>
      </c>
      <c r="D27" s="39">
        <f>D23</f>
        <v>-28273433</v>
      </c>
      <c r="E27" s="39">
        <f>E23</f>
        <v>52973131</v>
      </c>
      <c r="F27" s="39">
        <f>F23</f>
        <v>52259173</v>
      </c>
    </row>
    <row r="31" spans="1:5" ht="18.75">
      <c r="A31" s="30" t="s">
        <v>605</v>
      </c>
      <c r="B31" s="30"/>
      <c r="C31" s="30"/>
      <c r="D31" s="31"/>
      <c r="E31" s="30" t="s">
        <v>672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27"/>
  <sheetViews>
    <sheetView showZeros="0" showOutlineSymbols="0" zoomScale="70" zoomScaleNormal="70" zoomScalePageLayoutView="0" workbookViewId="0" topLeftCell="I2">
      <selection activeCell="O7" sqref="O7"/>
    </sheetView>
  </sheetViews>
  <sheetFormatPr defaultColWidth="9.00390625" defaultRowHeight="12.75"/>
  <cols>
    <col min="1" max="1" width="17.75390625" style="8" customWidth="1"/>
    <col min="2" max="2" width="18.125" style="8" customWidth="1"/>
    <col min="3" max="3" width="15.25390625" style="8" customWidth="1"/>
    <col min="4" max="4" width="46.00390625" style="8" customWidth="1"/>
    <col min="5" max="5" width="32.375" style="10" bestFit="1" customWidth="1"/>
    <col min="6" max="6" width="29.25390625" style="10" customWidth="1"/>
    <col min="7" max="7" width="32.375" style="10" bestFit="1" customWidth="1"/>
    <col min="8" max="8" width="30.75390625" style="10" bestFit="1" customWidth="1"/>
    <col min="9" max="9" width="14.875" style="10" customWidth="1"/>
    <col min="10" max="10" width="30.75390625" style="10" bestFit="1" customWidth="1"/>
    <col min="11" max="11" width="46.875" style="10" bestFit="1" customWidth="1"/>
    <col min="12" max="12" width="32.375" style="10" bestFit="1" customWidth="1"/>
    <col min="13" max="13" width="28.875" style="10" bestFit="1" customWidth="1"/>
    <col min="14" max="14" width="21.125" style="10" customWidth="1"/>
    <col min="15" max="15" width="27.375" style="10" bestFit="1" customWidth="1"/>
    <col min="16" max="16" width="32.375" style="10" bestFit="1" customWidth="1"/>
    <col min="17" max="17" width="9.125" style="8" customWidth="1"/>
    <col min="18" max="18" width="10.75390625" style="8" bestFit="1" customWidth="1"/>
    <col min="19" max="16384" width="9.125" style="8" customWidth="1"/>
  </cols>
  <sheetData>
    <row r="1" ht="23.25" hidden="1"/>
    <row r="2" spans="1:16" ht="27.75">
      <c r="A2" s="348"/>
      <c r="B2" s="7"/>
      <c r="I2" s="11"/>
      <c r="K2" s="29"/>
      <c r="L2" s="29"/>
      <c r="M2" s="29"/>
      <c r="O2" s="44" t="s">
        <v>286</v>
      </c>
      <c r="P2" s="44"/>
    </row>
    <row r="3" spans="1:16" ht="27" customHeight="1">
      <c r="A3" s="348"/>
      <c r="B3" s="7"/>
      <c r="I3" s="11"/>
      <c r="K3" s="29"/>
      <c r="L3" s="29"/>
      <c r="M3" s="29"/>
      <c r="O3" s="44" t="s">
        <v>216</v>
      </c>
      <c r="P3" s="44"/>
    </row>
    <row r="4" spans="1:16" ht="27" customHeight="1">
      <c r="A4" s="348"/>
      <c r="B4" s="7"/>
      <c r="I4" s="11"/>
      <c r="K4" s="29"/>
      <c r="L4" s="29"/>
      <c r="M4" s="29"/>
      <c r="O4" s="45" t="s">
        <v>170</v>
      </c>
      <c r="P4" s="45"/>
    </row>
    <row r="5" spans="10:16" ht="27" customHeight="1">
      <c r="J5" s="8"/>
      <c r="K5" s="29"/>
      <c r="L5" s="29"/>
      <c r="M5" s="29"/>
      <c r="N5" s="8"/>
      <c r="O5" s="45" t="s">
        <v>217</v>
      </c>
      <c r="P5" s="45"/>
    </row>
    <row r="6" spans="10:16" ht="23.25" hidden="1">
      <c r="J6" s="4"/>
      <c r="K6" s="12"/>
      <c r="L6" s="12"/>
      <c r="M6" s="12"/>
      <c r="N6" s="12"/>
      <c r="O6" s="12"/>
      <c r="P6" s="12"/>
    </row>
    <row r="7" spans="10:16" ht="23.25">
      <c r="J7" s="4"/>
      <c r="K7" s="12"/>
      <c r="L7" s="12"/>
      <c r="M7" s="12"/>
      <c r="N7" s="12"/>
      <c r="O7" s="12"/>
      <c r="P7" s="12"/>
    </row>
    <row r="8" spans="1:16" s="30" customFormat="1" ht="27">
      <c r="A8" s="320" t="s">
        <v>622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</row>
    <row r="9" spans="1:16" ht="20.25">
      <c r="A9" s="103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296</v>
      </c>
    </row>
    <row r="11" spans="11:16" ht="23.25">
      <c r="K11" s="282"/>
      <c r="P11" s="13" t="s">
        <v>276</v>
      </c>
    </row>
    <row r="12" spans="1:16" ht="71.25" customHeight="1">
      <c r="A12" s="349" t="s">
        <v>298</v>
      </c>
      <c r="B12" s="351" t="s">
        <v>299</v>
      </c>
      <c r="C12" s="351" t="s">
        <v>287</v>
      </c>
      <c r="D12" s="351" t="s">
        <v>300</v>
      </c>
      <c r="E12" s="359" t="s">
        <v>279</v>
      </c>
      <c r="F12" s="360"/>
      <c r="G12" s="360"/>
      <c r="H12" s="360"/>
      <c r="I12" s="361"/>
      <c r="J12" s="359" t="s">
        <v>280</v>
      </c>
      <c r="K12" s="360"/>
      <c r="L12" s="360"/>
      <c r="M12" s="360"/>
      <c r="N12" s="360"/>
      <c r="O12" s="361"/>
      <c r="P12" s="353" t="s">
        <v>288</v>
      </c>
    </row>
    <row r="13" spans="1:16" ht="13.5" thickBot="1">
      <c r="A13" s="350"/>
      <c r="B13" s="352"/>
      <c r="C13" s="352"/>
      <c r="D13" s="352"/>
      <c r="E13" s="316"/>
      <c r="F13" s="317"/>
      <c r="G13" s="317"/>
      <c r="H13" s="317"/>
      <c r="I13" s="318"/>
      <c r="J13" s="316"/>
      <c r="K13" s="317"/>
      <c r="L13" s="317"/>
      <c r="M13" s="317"/>
      <c r="N13" s="317"/>
      <c r="O13" s="318"/>
      <c r="P13" s="354"/>
    </row>
    <row r="14" spans="1:16" ht="36" customHeight="1" thickBot="1">
      <c r="A14" s="350"/>
      <c r="B14" s="352"/>
      <c r="C14" s="352"/>
      <c r="D14" s="352"/>
      <c r="E14" s="357" t="s">
        <v>281</v>
      </c>
      <c r="F14" s="357" t="s">
        <v>289</v>
      </c>
      <c r="G14" s="355" t="s">
        <v>290</v>
      </c>
      <c r="H14" s="356"/>
      <c r="I14" s="357" t="s">
        <v>291</v>
      </c>
      <c r="J14" s="357" t="s">
        <v>281</v>
      </c>
      <c r="K14" s="357" t="s">
        <v>282</v>
      </c>
      <c r="L14" s="357" t="s">
        <v>289</v>
      </c>
      <c r="M14" s="355" t="s">
        <v>290</v>
      </c>
      <c r="N14" s="356"/>
      <c r="O14" s="357" t="s">
        <v>291</v>
      </c>
      <c r="P14" s="354"/>
    </row>
    <row r="15" spans="1:16" ht="65.25" customHeight="1" thickBot="1">
      <c r="A15" s="350"/>
      <c r="B15" s="352"/>
      <c r="C15" s="352"/>
      <c r="D15" s="352"/>
      <c r="E15" s="358"/>
      <c r="F15" s="358"/>
      <c r="G15" s="53" t="s">
        <v>292</v>
      </c>
      <c r="H15" s="53" t="s">
        <v>293</v>
      </c>
      <c r="I15" s="358"/>
      <c r="J15" s="358"/>
      <c r="K15" s="358"/>
      <c r="L15" s="358"/>
      <c r="M15" s="53" t="s">
        <v>292</v>
      </c>
      <c r="N15" s="53" t="s">
        <v>293</v>
      </c>
      <c r="O15" s="358"/>
      <c r="P15" s="354"/>
    </row>
    <row r="16" spans="1:16" s="19" customFormat="1" ht="19.5" thickBot="1">
      <c r="A16" s="84">
        <v>1</v>
      </c>
      <c r="B16" s="85">
        <v>2</v>
      </c>
      <c r="C16" s="85">
        <v>3</v>
      </c>
      <c r="D16" s="85">
        <v>4</v>
      </c>
      <c r="E16" s="85">
        <v>5</v>
      </c>
      <c r="F16" s="85">
        <v>6</v>
      </c>
      <c r="G16" s="85">
        <v>7</v>
      </c>
      <c r="H16" s="85">
        <v>8</v>
      </c>
      <c r="I16" s="85">
        <v>9</v>
      </c>
      <c r="J16" s="85">
        <v>10</v>
      </c>
      <c r="K16" s="85">
        <v>11</v>
      </c>
      <c r="L16" s="85">
        <v>12</v>
      </c>
      <c r="M16" s="85">
        <v>13</v>
      </c>
      <c r="N16" s="85">
        <v>14</v>
      </c>
      <c r="O16" s="85">
        <v>15</v>
      </c>
      <c r="P16" s="86">
        <v>16</v>
      </c>
    </row>
    <row r="17" spans="1:16" s="15" customFormat="1" ht="69.75">
      <c r="A17" s="75" t="s">
        <v>301</v>
      </c>
      <c r="B17" s="75"/>
      <c r="C17" s="75"/>
      <c r="D17" s="54" t="s">
        <v>302</v>
      </c>
      <c r="E17" s="89">
        <f>E18</f>
        <v>134338637</v>
      </c>
      <c r="F17" s="89">
        <f aca="true" t="shared" si="0" ref="F17:O17">F18</f>
        <v>134338637</v>
      </c>
      <c r="G17" s="89">
        <f t="shared" si="0"/>
        <v>22792118</v>
      </c>
      <c r="H17" s="89">
        <f t="shared" si="0"/>
        <v>1070169</v>
      </c>
      <c r="I17" s="89">
        <f t="shared" si="0"/>
        <v>0</v>
      </c>
      <c r="J17" s="89">
        <f t="shared" si="0"/>
        <v>30781463</v>
      </c>
      <c r="K17" s="89">
        <f t="shared" si="0"/>
        <v>29791505</v>
      </c>
      <c r="L17" s="89">
        <f t="shared" si="0"/>
        <v>709958</v>
      </c>
      <c r="M17" s="89">
        <f t="shared" si="0"/>
        <v>18300</v>
      </c>
      <c r="N17" s="89">
        <f t="shared" si="0"/>
        <v>12590</v>
      </c>
      <c r="O17" s="89">
        <f t="shared" si="0"/>
        <v>30071505</v>
      </c>
      <c r="P17" s="89">
        <f>E17+J17</f>
        <v>165120100</v>
      </c>
    </row>
    <row r="18" spans="1:16" s="15" customFormat="1" ht="76.5" customHeight="1">
      <c r="A18" s="76" t="s">
        <v>303</v>
      </c>
      <c r="B18" s="76"/>
      <c r="C18" s="76"/>
      <c r="D18" s="55" t="s">
        <v>302</v>
      </c>
      <c r="E18" s="90">
        <f>E19+E23+E26+E33+E34+E35+E41+E42+E43+E44+E45+E46+E48+E49+E50+E51+E52+E53+E54+E55+E57+E58+E60+E62+E63+E64+E65+E66+E67+E68+E69+E61+E25</f>
        <v>134338637</v>
      </c>
      <c r="F18" s="90">
        <f>F19+F23+F26+F33+F34+F35+F41+F42+F43+F44+F45+F46+F48+F49+F50+F51+F52+F53+F54+F55+F57+F58+F60+F62+F63+F64+F65+F66+F67+F68+F69+F61+F25</f>
        <v>134338637</v>
      </c>
      <c r="G18" s="90">
        <f>G19+G23+G26+G33+G34+G35+G41+G42+G43+G44+G45+G46+G48+G49+G50+G51+G52+G53+G54+G55+G57+G58+G60+G62+G63+G64+G65+G66+G67+G68+G69+G61+G25</f>
        <v>22792118</v>
      </c>
      <c r="H18" s="90">
        <f>H19+H23+H26+H33+H34+H35+H41+H42+H43+H44+H45+H46+H48+H49+H50+H51+H52+H53+H54+H55+H57+H58+H60+H62+H63+H64+H65+H66+H67+H68+H69+H61+H25</f>
        <v>1070169</v>
      </c>
      <c r="I18" s="90">
        <f>I19+I23+I26+I33+I34+I35+I41+I42+I43+I44+I45+I46+I48+I49+I50+I51+I52+I53+I54+I55+I57+I58+I60+I62+I63+I64+I65+I66+I67+I68+I69+I61</f>
        <v>0</v>
      </c>
      <c r="J18" s="90">
        <f aca="true" t="shared" si="1" ref="J18:O18">J19+J23+J26+J33+J34+J35+J41+J42+J43+J44+J45+J46+J48+J49+J50+J51+J52+J53+J54+J55+J57+J58+J60+J62+J63+J64+J65+J66+J67+J68+J69+J61+J59+J56</f>
        <v>30781463</v>
      </c>
      <c r="K18" s="90">
        <f t="shared" si="1"/>
        <v>29791505</v>
      </c>
      <c r="L18" s="90">
        <f t="shared" si="1"/>
        <v>709958</v>
      </c>
      <c r="M18" s="90">
        <f t="shared" si="1"/>
        <v>18300</v>
      </c>
      <c r="N18" s="90">
        <f t="shared" si="1"/>
        <v>12590</v>
      </c>
      <c r="O18" s="90">
        <f t="shared" si="1"/>
        <v>30071505</v>
      </c>
      <c r="P18" s="90">
        <f aca="true" t="shared" si="2" ref="P18:P110">E18+J18</f>
        <v>165120100</v>
      </c>
    </row>
    <row r="19" spans="1:18" ht="230.25" customHeight="1">
      <c r="A19" s="77" t="s">
        <v>304</v>
      </c>
      <c r="B19" s="77" t="s">
        <v>305</v>
      </c>
      <c r="C19" s="77" t="s">
        <v>306</v>
      </c>
      <c r="D19" s="56" t="s">
        <v>307</v>
      </c>
      <c r="E19" s="91">
        <f>F19</f>
        <v>23542045</v>
      </c>
      <c r="F19" s="91">
        <f>F21+F22</f>
        <v>23542045</v>
      </c>
      <c r="G19" s="91">
        <f aca="true" t="shared" si="3" ref="G19:N19">G21+G22</f>
        <v>20503964</v>
      </c>
      <c r="H19" s="91">
        <f t="shared" si="3"/>
        <v>977510</v>
      </c>
      <c r="I19" s="91">
        <f t="shared" si="3"/>
        <v>0</v>
      </c>
      <c r="J19" s="91">
        <f>L19+O19</f>
        <v>238410</v>
      </c>
      <c r="K19" s="92">
        <f>K21+K22</f>
        <v>230410</v>
      </c>
      <c r="L19" s="91">
        <f t="shared" si="3"/>
        <v>8000</v>
      </c>
      <c r="M19" s="91">
        <f t="shared" si="3"/>
        <v>0</v>
      </c>
      <c r="N19" s="91">
        <f t="shared" si="3"/>
        <v>0</v>
      </c>
      <c r="O19" s="91">
        <f>K19</f>
        <v>230410</v>
      </c>
      <c r="P19" s="92">
        <f t="shared" si="2"/>
        <v>23780455</v>
      </c>
      <c r="R19" s="277"/>
    </row>
    <row r="20" spans="1:16" ht="24" hidden="1">
      <c r="A20" s="77"/>
      <c r="B20" s="77"/>
      <c r="C20" s="77"/>
      <c r="D20" s="56" t="s">
        <v>308</v>
      </c>
      <c r="E20" s="92"/>
      <c r="F20" s="92"/>
      <c r="G20" s="92"/>
      <c r="H20" s="92"/>
      <c r="I20" s="92"/>
      <c r="J20" s="91">
        <f aca="true" t="shared" si="4" ref="J20:J113">L20+O20</f>
        <v>0</v>
      </c>
      <c r="K20" s="92"/>
      <c r="L20" s="92"/>
      <c r="M20" s="92"/>
      <c r="N20" s="92"/>
      <c r="O20" s="91">
        <f aca="true" t="shared" si="5" ref="O20:O113">K20</f>
        <v>0</v>
      </c>
      <c r="P20" s="92">
        <f t="shared" si="2"/>
        <v>0</v>
      </c>
    </row>
    <row r="21" spans="1:16" ht="72" hidden="1">
      <c r="A21" s="77"/>
      <c r="B21" s="77"/>
      <c r="C21" s="77"/>
      <c r="D21" s="57" t="s">
        <v>309</v>
      </c>
      <c r="E21" s="92">
        <f>F21</f>
        <v>21637828</v>
      </c>
      <c r="F21" s="92">
        <f>19539476+834905+198326+43515+157990+71594+62000+99942+27791+49900+549589+2800</f>
        <v>21637828</v>
      </c>
      <c r="G21" s="92">
        <f>17654353+834905+549589</f>
        <v>19038847</v>
      </c>
      <c r="H21" s="92">
        <v>710923</v>
      </c>
      <c r="I21" s="92"/>
      <c r="J21" s="91">
        <f t="shared" si="4"/>
        <v>230410</v>
      </c>
      <c r="K21" s="92">
        <f>180650+9760+40000</f>
        <v>230410</v>
      </c>
      <c r="L21" s="92"/>
      <c r="M21" s="92"/>
      <c r="N21" s="92"/>
      <c r="O21" s="91">
        <f t="shared" si="5"/>
        <v>230410</v>
      </c>
      <c r="P21" s="92">
        <f t="shared" si="2"/>
        <v>21868238</v>
      </c>
    </row>
    <row r="22" spans="1:16" ht="72" hidden="1">
      <c r="A22" s="77"/>
      <c r="B22" s="77"/>
      <c r="C22" s="77"/>
      <c r="D22" s="57" t="s">
        <v>310</v>
      </c>
      <c r="E22" s="92">
        <f>F22</f>
        <v>1904217</v>
      </c>
      <c r="F22" s="92">
        <f>1964545+66672-127000</f>
        <v>1904217</v>
      </c>
      <c r="G22" s="92">
        <f>1398445+66672</f>
        <v>1465117</v>
      </c>
      <c r="H22" s="92">
        <v>266587</v>
      </c>
      <c r="I22" s="92"/>
      <c r="J22" s="91">
        <f t="shared" si="4"/>
        <v>8000</v>
      </c>
      <c r="K22" s="92"/>
      <c r="L22" s="92">
        <v>8000</v>
      </c>
      <c r="M22" s="92"/>
      <c r="N22" s="92"/>
      <c r="O22" s="91">
        <f t="shared" si="5"/>
        <v>0</v>
      </c>
      <c r="P22" s="92">
        <f t="shared" si="2"/>
        <v>1912217</v>
      </c>
    </row>
    <row r="23" spans="1:16" ht="48">
      <c r="A23" s="77" t="s">
        <v>311</v>
      </c>
      <c r="B23" s="77" t="s">
        <v>312</v>
      </c>
      <c r="C23" s="77" t="s">
        <v>313</v>
      </c>
      <c r="D23" s="57" t="s">
        <v>314</v>
      </c>
      <c r="E23" s="92">
        <f>F23</f>
        <v>777511</v>
      </c>
      <c r="F23" s="92">
        <f>F24</f>
        <v>777511</v>
      </c>
      <c r="G23" s="92">
        <f aca="true" t="shared" si="6" ref="G23:N23">G24</f>
        <v>715232</v>
      </c>
      <c r="H23" s="92">
        <f t="shared" si="6"/>
        <v>58244</v>
      </c>
      <c r="I23" s="92">
        <f t="shared" si="6"/>
        <v>0</v>
      </c>
      <c r="J23" s="92">
        <f t="shared" si="6"/>
        <v>56000</v>
      </c>
      <c r="K23" s="92">
        <f t="shared" si="6"/>
        <v>0</v>
      </c>
      <c r="L23" s="92">
        <f t="shared" si="6"/>
        <v>56000</v>
      </c>
      <c r="M23" s="92">
        <f t="shared" si="6"/>
        <v>18300</v>
      </c>
      <c r="N23" s="92">
        <f t="shared" si="6"/>
        <v>12590</v>
      </c>
      <c r="O23" s="91">
        <f t="shared" si="5"/>
        <v>0</v>
      </c>
      <c r="P23" s="92">
        <f t="shared" si="2"/>
        <v>833511</v>
      </c>
    </row>
    <row r="24" spans="1:16" ht="96" hidden="1">
      <c r="A24" s="77" t="s">
        <v>267</v>
      </c>
      <c r="B24" s="77" t="s">
        <v>312</v>
      </c>
      <c r="C24" s="77" t="s">
        <v>313</v>
      </c>
      <c r="D24" s="57" t="s">
        <v>315</v>
      </c>
      <c r="E24" s="92">
        <f>F24</f>
        <v>777511</v>
      </c>
      <c r="F24" s="92">
        <f>759115+18396</f>
        <v>777511</v>
      </c>
      <c r="G24" s="92">
        <f>696836+18396</f>
        <v>715232</v>
      </c>
      <c r="H24" s="92">
        <v>58244</v>
      </c>
      <c r="I24" s="92"/>
      <c r="J24" s="91">
        <f t="shared" si="4"/>
        <v>56000</v>
      </c>
      <c r="K24" s="92"/>
      <c r="L24" s="92">
        <v>56000</v>
      </c>
      <c r="M24" s="92">
        <v>18300</v>
      </c>
      <c r="N24" s="92">
        <v>12590</v>
      </c>
      <c r="O24" s="91">
        <f t="shared" si="5"/>
        <v>0</v>
      </c>
      <c r="P24" s="92">
        <f t="shared" si="2"/>
        <v>833511</v>
      </c>
    </row>
    <row r="25" spans="1:16" ht="48">
      <c r="A25" s="77" t="s">
        <v>268</v>
      </c>
      <c r="B25" s="77" t="s">
        <v>269</v>
      </c>
      <c r="C25" s="77" t="s">
        <v>401</v>
      </c>
      <c r="D25" s="57" t="s">
        <v>270</v>
      </c>
      <c r="E25" s="92">
        <f>F25</f>
        <v>3157209</v>
      </c>
      <c r="F25" s="92">
        <f>3218547-61338</f>
        <v>3157209</v>
      </c>
      <c r="G25" s="92">
        <f>326735+1237547</f>
        <v>1564282</v>
      </c>
      <c r="H25" s="92">
        <f>2420+31995</f>
        <v>34415</v>
      </c>
      <c r="I25" s="92"/>
      <c r="J25" s="91"/>
      <c r="K25" s="92"/>
      <c r="L25" s="92"/>
      <c r="M25" s="92"/>
      <c r="N25" s="92"/>
      <c r="O25" s="91"/>
      <c r="P25" s="92">
        <f t="shared" si="2"/>
        <v>3157209</v>
      </c>
    </row>
    <row r="26" spans="1:16" ht="72">
      <c r="A26" s="77" t="s">
        <v>316</v>
      </c>
      <c r="B26" s="77" t="s">
        <v>317</v>
      </c>
      <c r="C26" s="77" t="s">
        <v>318</v>
      </c>
      <c r="D26" s="57" t="s">
        <v>319</v>
      </c>
      <c r="E26" s="92">
        <f>E32+E28</f>
        <v>29860494</v>
      </c>
      <c r="F26" s="92">
        <f>F32+F28</f>
        <v>29860494</v>
      </c>
      <c r="G26" s="92">
        <f>G32+G28</f>
        <v>0</v>
      </c>
      <c r="H26" s="92">
        <f>H32+H28</f>
        <v>0</v>
      </c>
      <c r="I26" s="92">
        <f>I32+I28</f>
        <v>0</v>
      </c>
      <c r="J26" s="91">
        <f aca="true" t="shared" si="7" ref="J26:O26">J28+J29+J30+J31+J32</f>
        <v>6791050</v>
      </c>
      <c r="K26" s="91">
        <f t="shared" si="7"/>
        <v>6791050</v>
      </c>
      <c r="L26" s="91">
        <f t="shared" si="7"/>
        <v>0</v>
      </c>
      <c r="M26" s="91">
        <f t="shared" si="7"/>
        <v>0</v>
      </c>
      <c r="N26" s="91">
        <f t="shared" si="7"/>
        <v>0</v>
      </c>
      <c r="O26" s="91">
        <f t="shared" si="7"/>
        <v>6791050</v>
      </c>
      <c r="P26" s="92">
        <f t="shared" si="2"/>
        <v>36651544</v>
      </c>
    </row>
    <row r="27" spans="1:16" ht="24" hidden="1">
      <c r="A27" s="77"/>
      <c r="B27" s="77"/>
      <c r="C27" s="77"/>
      <c r="D27" s="57" t="s">
        <v>308</v>
      </c>
      <c r="E27" s="92"/>
      <c r="F27" s="92"/>
      <c r="G27" s="92"/>
      <c r="H27" s="92"/>
      <c r="I27" s="92"/>
      <c r="J27" s="91">
        <f t="shared" si="4"/>
        <v>0</v>
      </c>
      <c r="K27" s="92"/>
      <c r="L27" s="92"/>
      <c r="M27" s="92"/>
      <c r="N27" s="92"/>
      <c r="O27" s="91">
        <f t="shared" si="5"/>
        <v>0</v>
      </c>
      <c r="P27" s="92">
        <f t="shared" si="2"/>
        <v>0</v>
      </c>
    </row>
    <row r="28" spans="1:16" ht="48" hidden="1">
      <c r="A28" s="77"/>
      <c r="B28" s="77"/>
      <c r="C28" s="77"/>
      <c r="D28" s="57" t="s">
        <v>320</v>
      </c>
      <c r="E28" s="92">
        <f>F28+I28</f>
        <v>13792455</v>
      </c>
      <c r="F28" s="92">
        <f>13792400+55</f>
        <v>13792455</v>
      </c>
      <c r="G28" s="92"/>
      <c r="H28" s="92"/>
      <c r="I28" s="92"/>
      <c r="J28" s="91">
        <f t="shared" si="4"/>
        <v>0</v>
      </c>
      <c r="K28" s="92"/>
      <c r="L28" s="92"/>
      <c r="M28" s="92"/>
      <c r="N28" s="92"/>
      <c r="O28" s="91">
        <f t="shared" si="5"/>
        <v>0</v>
      </c>
      <c r="P28" s="92">
        <f t="shared" si="2"/>
        <v>13792455</v>
      </c>
    </row>
    <row r="29" spans="1:16" ht="216" hidden="1">
      <c r="A29" s="77"/>
      <c r="B29" s="77"/>
      <c r="C29" s="77"/>
      <c r="D29" s="57" t="s">
        <v>321</v>
      </c>
      <c r="E29" s="92"/>
      <c r="F29" s="92"/>
      <c r="G29" s="92"/>
      <c r="H29" s="92"/>
      <c r="I29" s="92"/>
      <c r="J29" s="91">
        <f t="shared" si="4"/>
        <v>0</v>
      </c>
      <c r="K29" s="92"/>
      <c r="L29" s="92"/>
      <c r="M29" s="92"/>
      <c r="N29" s="92"/>
      <c r="O29" s="91">
        <f t="shared" si="5"/>
        <v>0</v>
      </c>
      <c r="P29" s="92">
        <f t="shared" si="2"/>
        <v>0</v>
      </c>
    </row>
    <row r="30" spans="1:16" ht="144" hidden="1">
      <c r="A30" s="77"/>
      <c r="B30" s="77"/>
      <c r="C30" s="77"/>
      <c r="D30" s="58" t="s">
        <v>322</v>
      </c>
      <c r="E30" s="92"/>
      <c r="F30" s="92"/>
      <c r="G30" s="92"/>
      <c r="H30" s="92"/>
      <c r="I30" s="92"/>
      <c r="J30" s="91">
        <f t="shared" si="4"/>
        <v>0</v>
      </c>
      <c r="K30" s="92"/>
      <c r="L30" s="92"/>
      <c r="M30" s="92"/>
      <c r="N30" s="92"/>
      <c r="O30" s="91">
        <f t="shared" si="5"/>
        <v>0</v>
      </c>
      <c r="P30" s="92">
        <f t="shared" si="2"/>
        <v>0</v>
      </c>
    </row>
    <row r="31" spans="1:16" ht="216" hidden="1">
      <c r="A31" s="77"/>
      <c r="B31" s="77"/>
      <c r="C31" s="77"/>
      <c r="D31" s="59" t="s">
        <v>321</v>
      </c>
      <c r="E31" s="92"/>
      <c r="F31" s="92"/>
      <c r="G31" s="92"/>
      <c r="H31" s="92"/>
      <c r="I31" s="92"/>
      <c r="J31" s="91">
        <f t="shared" si="4"/>
        <v>0</v>
      </c>
      <c r="K31" s="92"/>
      <c r="L31" s="92"/>
      <c r="M31" s="92"/>
      <c r="N31" s="92"/>
      <c r="O31" s="91">
        <f t="shared" si="5"/>
        <v>0</v>
      </c>
      <c r="P31" s="92">
        <f t="shared" si="2"/>
        <v>0</v>
      </c>
    </row>
    <row r="32" spans="1:16" ht="24" hidden="1">
      <c r="A32" s="77"/>
      <c r="B32" s="77"/>
      <c r="C32" s="77"/>
      <c r="D32" s="57" t="s">
        <v>323</v>
      </c>
      <c r="E32" s="92">
        <f>F32</f>
        <v>16068039</v>
      </c>
      <c r="F32" s="92">
        <f>10009603-20539+1098750+183938+400000+654823+135494+750000+137200+169202+71920+750000+20110+650000+184887+200000+195908+58000+72630+32030+68020-100000-6999+85028+25600+37584+204850</f>
        <v>16068039</v>
      </c>
      <c r="G32" s="92"/>
      <c r="H32" s="92"/>
      <c r="I32" s="92"/>
      <c r="J32" s="91">
        <f t="shared" si="4"/>
        <v>6791050</v>
      </c>
      <c r="K32" s="92">
        <f>4727000+767500+99900+945200-945200+211500+315000+375000+295150</f>
        <v>6791050</v>
      </c>
      <c r="L32" s="92"/>
      <c r="M32" s="92"/>
      <c r="N32" s="92"/>
      <c r="O32" s="91">
        <f t="shared" si="5"/>
        <v>6791050</v>
      </c>
      <c r="P32" s="92">
        <f t="shared" si="2"/>
        <v>22859089</v>
      </c>
    </row>
    <row r="33" spans="1:16" ht="144">
      <c r="A33" s="77" t="s">
        <v>328</v>
      </c>
      <c r="B33" s="77" t="s">
        <v>329</v>
      </c>
      <c r="C33" s="77" t="s">
        <v>330</v>
      </c>
      <c r="D33" s="57" t="s">
        <v>331</v>
      </c>
      <c r="E33" s="92">
        <f>F33</f>
        <v>1051343</v>
      </c>
      <c r="F33" s="92">
        <f>680360+49908+13500+77015+58061+100000+22500+49999</f>
        <v>1051343</v>
      </c>
      <c r="G33" s="92"/>
      <c r="H33" s="92"/>
      <c r="I33" s="92"/>
      <c r="J33" s="91">
        <f t="shared" si="4"/>
        <v>68000</v>
      </c>
      <c r="K33" s="92">
        <f>48000+20000</f>
        <v>68000</v>
      </c>
      <c r="L33" s="92"/>
      <c r="M33" s="92"/>
      <c r="N33" s="92"/>
      <c r="O33" s="91">
        <f t="shared" si="5"/>
        <v>68000</v>
      </c>
      <c r="P33" s="92">
        <f t="shared" si="2"/>
        <v>1119343</v>
      </c>
    </row>
    <row r="34" spans="1:16" ht="96">
      <c r="A34" s="77" t="s">
        <v>595</v>
      </c>
      <c r="B34" s="77" t="s">
        <v>596</v>
      </c>
      <c r="C34" s="77" t="s">
        <v>326</v>
      </c>
      <c r="D34" s="57" t="s">
        <v>597</v>
      </c>
      <c r="E34" s="92">
        <f>F34</f>
        <v>2773486</v>
      </c>
      <c r="F34" s="92">
        <f>432000+217918+1402800+720768</f>
        <v>2773486</v>
      </c>
      <c r="G34" s="92"/>
      <c r="H34" s="92"/>
      <c r="I34" s="92"/>
      <c r="J34" s="91"/>
      <c r="K34" s="92"/>
      <c r="L34" s="92"/>
      <c r="M34" s="92"/>
      <c r="N34" s="92"/>
      <c r="O34" s="91"/>
      <c r="P34" s="92">
        <f t="shared" si="2"/>
        <v>2773486</v>
      </c>
    </row>
    <row r="35" spans="1:16" ht="48">
      <c r="A35" s="77" t="s">
        <v>324</v>
      </c>
      <c r="B35" s="77" t="s">
        <v>325</v>
      </c>
      <c r="C35" s="77" t="s">
        <v>326</v>
      </c>
      <c r="D35" s="57" t="s">
        <v>327</v>
      </c>
      <c r="E35" s="92">
        <f aca="true" t="shared" si="8" ref="E35:O35">SUM(E36:E40)</f>
        <v>7320433</v>
      </c>
      <c r="F35" s="92">
        <f t="shared" si="8"/>
        <v>7320433</v>
      </c>
      <c r="G35" s="92">
        <f t="shared" si="8"/>
        <v>0</v>
      </c>
      <c r="H35" s="92">
        <f t="shared" si="8"/>
        <v>0</v>
      </c>
      <c r="I35" s="92">
        <f t="shared" si="8"/>
        <v>0</v>
      </c>
      <c r="J35" s="92">
        <f t="shared" si="8"/>
        <v>0</v>
      </c>
      <c r="K35" s="92">
        <f t="shared" si="8"/>
        <v>0</v>
      </c>
      <c r="L35" s="92">
        <f t="shared" si="8"/>
        <v>0</v>
      </c>
      <c r="M35" s="92">
        <f t="shared" si="8"/>
        <v>0</v>
      </c>
      <c r="N35" s="92">
        <f t="shared" si="8"/>
        <v>0</v>
      </c>
      <c r="O35" s="92">
        <f t="shared" si="8"/>
        <v>0</v>
      </c>
      <c r="P35" s="92">
        <f t="shared" si="2"/>
        <v>7320433</v>
      </c>
    </row>
    <row r="36" spans="1:16" ht="24" hidden="1">
      <c r="A36" s="60"/>
      <c r="B36" s="60"/>
      <c r="C36" s="60"/>
      <c r="D36" s="60" t="s">
        <v>332</v>
      </c>
      <c r="E36" s="92">
        <f aca="true" t="shared" si="9" ref="E36:E43">F36</f>
        <v>1504814</v>
      </c>
      <c r="F36" s="92">
        <f>1000000+199000+221814+84000</f>
        <v>1504814</v>
      </c>
      <c r="G36" s="92"/>
      <c r="H36" s="92"/>
      <c r="I36" s="92"/>
      <c r="J36" s="91">
        <f t="shared" si="4"/>
        <v>0</v>
      </c>
      <c r="K36" s="92"/>
      <c r="L36" s="92"/>
      <c r="M36" s="92"/>
      <c r="N36" s="92"/>
      <c r="O36" s="91">
        <f t="shared" si="5"/>
        <v>0</v>
      </c>
      <c r="P36" s="92">
        <f t="shared" si="2"/>
        <v>1504814</v>
      </c>
    </row>
    <row r="37" spans="1:16" ht="24" hidden="1">
      <c r="A37" s="60"/>
      <c r="B37" s="60"/>
      <c r="C37" s="60"/>
      <c r="D37" s="60" t="s">
        <v>333</v>
      </c>
      <c r="E37" s="92">
        <f t="shared" si="9"/>
        <v>5271280</v>
      </c>
      <c r="F37" s="92">
        <f>5010600-476620+100000+106039+600000+130000+100000-431568+132829</f>
        <v>5271280</v>
      </c>
      <c r="G37" s="92"/>
      <c r="H37" s="92"/>
      <c r="I37" s="92"/>
      <c r="J37" s="91">
        <f t="shared" si="4"/>
        <v>0</v>
      </c>
      <c r="K37" s="92"/>
      <c r="L37" s="92"/>
      <c r="M37" s="92"/>
      <c r="N37" s="92"/>
      <c r="O37" s="91">
        <f t="shared" si="5"/>
        <v>0</v>
      </c>
      <c r="P37" s="92">
        <f t="shared" si="2"/>
        <v>5271280</v>
      </c>
    </row>
    <row r="38" spans="1:16" ht="24" hidden="1">
      <c r="A38" s="60"/>
      <c r="B38" s="60"/>
      <c r="C38" s="60"/>
      <c r="D38" s="60" t="s">
        <v>647</v>
      </c>
      <c r="E38" s="92">
        <f t="shared" si="9"/>
        <v>121839</v>
      </c>
      <c r="F38" s="92">
        <f>80000+41839</f>
        <v>121839</v>
      </c>
      <c r="G38" s="92"/>
      <c r="H38" s="92"/>
      <c r="I38" s="92"/>
      <c r="J38" s="91"/>
      <c r="K38" s="92"/>
      <c r="L38" s="92"/>
      <c r="M38" s="92"/>
      <c r="N38" s="92"/>
      <c r="O38" s="91"/>
      <c r="P38" s="92"/>
    </row>
    <row r="39" spans="1:16" ht="48" hidden="1">
      <c r="A39" s="60"/>
      <c r="B39" s="60"/>
      <c r="C39" s="60"/>
      <c r="D39" s="60" t="s">
        <v>648</v>
      </c>
      <c r="E39" s="92">
        <f t="shared" si="9"/>
        <v>200000</v>
      </c>
      <c r="F39" s="92">
        <f>100000+100000</f>
        <v>200000</v>
      </c>
      <c r="G39" s="92"/>
      <c r="H39" s="92"/>
      <c r="I39" s="92"/>
      <c r="J39" s="91"/>
      <c r="K39" s="92"/>
      <c r="L39" s="92"/>
      <c r="M39" s="92"/>
      <c r="N39" s="92"/>
      <c r="O39" s="91"/>
      <c r="P39" s="92"/>
    </row>
    <row r="40" spans="1:16" ht="24" hidden="1">
      <c r="A40" s="60"/>
      <c r="B40" s="60"/>
      <c r="C40" s="60"/>
      <c r="D40" s="60" t="s">
        <v>666</v>
      </c>
      <c r="E40" s="92">
        <f>F40</f>
        <v>222500</v>
      </c>
      <c r="F40" s="92">
        <f>122500+100000</f>
        <v>222500</v>
      </c>
      <c r="G40" s="92"/>
      <c r="H40" s="92"/>
      <c r="I40" s="92"/>
      <c r="J40" s="91"/>
      <c r="K40" s="92"/>
      <c r="L40" s="92"/>
      <c r="M40" s="92"/>
      <c r="N40" s="92"/>
      <c r="O40" s="91"/>
      <c r="P40" s="92"/>
    </row>
    <row r="41" spans="1:16" ht="72">
      <c r="A41" s="77" t="s">
        <v>334</v>
      </c>
      <c r="B41" s="77" t="s">
        <v>335</v>
      </c>
      <c r="C41" s="78" t="s">
        <v>336</v>
      </c>
      <c r="D41" s="56" t="s">
        <v>337</v>
      </c>
      <c r="E41" s="92">
        <f t="shared" si="9"/>
        <v>5000</v>
      </c>
      <c r="F41" s="92">
        <v>5000</v>
      </c>
      <c r="G41" s="92"/>
      <c r="H41" s="92"/>
      <c r="I41" s="92"/>
      <c r="J41" s="91">
        <f t="shared" si="4"/>
        <v>0</v>
      </c>
      <c r="K41" s="92"/>
      <c r="L41" s="92"/>
      <c r="M41" s="92"/>
      <c r="N41" s="92"/>
      <c r="O41" s="91">
        <f t="shared" si="5"/>
        <v>0</v>
      </c>
      <c r="P41" s="92">
        <f t="shared" si="2"/>
        <v>5000</v>
      </c>
    </row>
    <row r="42" spans="1:16" ht="72">
      <c r="A42" s="77" t="s">
        <v>338</v>
      </c>
      <c r="B42" s="77" t="s">
        <v>339</v>
      </c>
      <c r="C42" s="77" t="s">
        <v>340</v>
      </c>
      <c r="D42" s="57" t="s">
        <v>341</v>
      </c>
      <c r="E42" s="92">
        <f t="shared" si="9"/>
        <v>126000</v>
      </c>
      <c r="F42" s="92">
        <f>94000+32000</f>
        <v>126000</v>
      </c>
      <c r="G42" s="92"/>
      <c r="H42" s="92"/>
      <c r="I42" s="92"/>
      <c r="J42" s="91">
        <f t="shared" si="4"/>
        <v>0</v>
      </c>
      <c r="K42" s="92"/>
      <c r="L42" s="92"/>
      <c r="M42" s="92"/>
      <c r="N42" s="92"/>
      <c r="O42" s="91">
        <f t="shared" si="5"/>
        <v>0</v>
      </c>
      <c r="P42" s="92">
        <f t="shared" si="2"/>
        <v>126000</v>
      </c>
    </row>
    <row r="43" spans="1:16" ht="48">
      <c r="A43" s="77" t="s">
        <v>649</v>
      </c>
      <c r="B43" s="77" t="s">
        <v>638</v>
      </c>
      <c r="C43" s="77" t="s">
        <v>639</v>
      </c>
      <c r="D43" s="57" t="s">
        <v>640</v>
      </c>
      <c r="E43" s="92">
        <f t="shared" si="9"/>
        <v>112368</v>
      </c>
      <c r="F43" s="92">
        <f>89320+23048</f>
        <v>112368</v>
      </c>
      <c r="G43" s="92">
        <v>8640</v>
      </c>
      <c r="H43" s="92"/>
      <c r="I43" s="92"/>
      <c r="J43" s="91"/>
      <c r="K43" s="92"/>
      <c r="L43" s="92"/>
      <c r="M43" s="92"/>
      <c r="N43" s="92"/>
      <c r="O43" s="91"/>
      <c r="P43" s="92">
        <f t="shared" si="2"/>
        <v>112368</v>
      </c>
    </row>
    <row r="44" spans="1:16" ht="72">
      <c r="A44" s="77" t="s">
        <v>342</v>
      </c>
      <c r="B44" s="77" t="s">
        <v>343</v>
      </c>
      <c r="C44" s="77" t="s">
        <v>344</v>
      </c>
      <c r="D44" s="61" t="s">
        <v>345</v>
      </c>
      <c r="E44" s="92">
        <f aca="true" t="shared" si="10" ref="E44:E69">F44</f>
        <v>1038000</v>
      </c>
      <c r="F44" s="92">
        <f>800000+238000</f>
        <v>1038000</v>
      </c>
      <c r="G44" s="92"/>
      <c r="H44" s="92"/>
      <c r="I44" s="92"/>
      <c r="J44" s="91">
        <f t="shared" si="4"/>
        <v>0</v>
      </c>
      <c r="K44" s="92"/>
      <c r="L44" s="92"/>
      <c r="M44" s="92"/>
      <c r="N44" s="92"/>
      <c r="O44" s="91">
        <f t="shared" si="5"/>
        <v>0</v>
      </c>
      <c r="P44" s="92">
        <f t="shared" si="2"/>
        <v>1038000</v>
      </c>
    </row>
    <row r="45" spans="1:16" ht="96">
      <c r="A45" s="77" t="s">
        <v>346</v>
      </c>
      <c r="B45" s="77" t="s">
        <v>347</v>
      </c>
      <c r="C45" s="77" t="s">
        <v>348</v>
      </c>
      <c r="D45" s="57" t="s">
        <v>349</v>
      </c>
      <c r="E45" s="92">
        <f t="shared" si="10"/>
        <v>1769277</v>
      </c>
      <c r="F45" s="92">
        <f>253522+50000+500000+500000+465755</f>
        <v>1769277</v>
      </c>
      <c r="G45" s="92"/>
      <c r="H45" s="92"/>
      <c r="I45" s="92"/>
      <c r="J45" s="91">
        <f t="shared" si="4"/>
        <v>0</v>
      </c>
      <c r="K45" s="101"/>
      <c r="L45" s="92"/>
      <c r="M45" s="92"/>
      <c r="N45" s="92"/>
      <c r="O45" s="91">
        <f t="shared" si="5"/>
        <v>0</v>
      </c>
      <c r="P45" s="92">
        <f t="shared" si="2"/>
        <v>1769277</v>
      </c>
    </row>
    <row r="46" spans="1:16" ht="48">
      <c r="A46" s="77" t="s">
        <v>350</v>
      </c>
      <c r="B46" s="77" t="s">
        <v>351</v>
      </c>
      <c r="C46" s="77" t="s">
        <v>348</v>
      </c>
      <c r="D46" s="57" t="s">
        <v>352</v>
      </c>
      <c r="E46" s="92">
        <f t="shared" si="10"/>
        <v>1747610</v>
      </c>
      <c r="F46" s="92">
        <f>1184800+500000-136100+198910</f>
        <v>1747610</v>
      </c>
      <c r="G46" s="92"/>
      <c r="H46" s="92"/>
      <c r="I46" s="92"/>
      <c r="J46" s="91">
        <f t="shared" si="4"/>
        <v>0</v>
      </c>
      <c r="K46" s="92"/>
      <c r="L46" s="92"/>
      <c r="M46" s="92"/>
      <c r="N46" s="92"/>
      <c r="O46" s="91">
        <f t="shared" si="5"/>
        <v>0</v>
      </c>
      <c r="P46" s="92">
        <f t="shared" si="2"/>
        <v>1747610</v>
      </c>
    </row>
    <row r="47" spans="1:16" ht="72" hidden="1">
      <c r="A47" s="77" t="s">
        <v>578</v>
      </c>
      <c r="B47" s="77" t="s">
        <v>579</v>
      </c>
      <c r="C47" s="77" t="s">
        <v>348</v>
      </c>
      <c r="D47" s="57" t="s">
        <v>580</v>
      </c>
      <c r="E47" s="92"/>
      <c r="F47" s="92"/>
      <c r="G47" s="92"/>
      <c r="H47" s="92"/>
      <c r="I47" s="92"/>
      <c r="J47" s="91">
        <f>L47+O47</f>
        <v>0</v>
      </c>
      <c r="K47" s="101"/>
      <c r="L47" s="92"/>
      <c r="M47" s="92"/>
      <c r="N47" s="92"/>
      <c r="O47" s="91">
        <f>K47</f>
        <v>0</v>
      </c>
      <c r="P47" s="92">
        <f>E47+J47</f>
        <v>0</v>
      </c>
    </row>
    <row r="48" spans="1:16" ht="96">
      <c r="A48" s="77" t="s">
        <v>353</v>
      </c>
      <c r="B48" s="77" t="s">
        <v>354</v>
      </c>
      <c r="C48" s="77" t="s">
        <v>348</v>
      </c>
      <c r="D48" s="57" t="s">
        <v>355</v>
      </c>
      <c r="E48" s="92">
        <f t="shared" si="10"/>
        <v>4600000</v>
      </c>
      <c r="F48" s="92">
        <f>2000000+1000000+1000000+600000</f>
        <v>4600000</v>
      </c>
      <c r="G48" s="92"/>
      <c r="H48" s="92"/>
      <c r="I48" s="92"/>
      <c r="J48" s="91">
        <f t="shared" si="4"/>
        <v>0</v>
      </c>
      <c r="K48" s="92"/>
      <c r="L48" s="92"/>
      <c r="M48" s="92"/>
      <c r="N48" s="92"/>
      <c r="O48" s="91">
        <f t="shared" si="5"/>
        <v>0</v>
      </c>
      <c r="P48" s="92">
        <f t="shared" si="2"/>
        <v>4600000</v>
      </c>
    </row>
    <row r="49" spans="1:16" ht="168">
      <c r="A49" s="77" t="s">
        <v>356</v>
      </c>
      <c r="B49" s="77" t="s">
        <v>357</v>
      </c>
      <c r="C49" s="77" t="s">
        <v>348</v>
      </c>
      <c r="D49" s="57" t="s">
        <v>358</v>
      </c>
      <c r="E49" s="92">
        <f t="shared" si="10"/>
        <v>1713145</v>
      </c>
      <c r="F49" s="92">
        <f>300000+400000+473268+100000+200000+200000+39877</f>
        <v>1713145</v>
      </c>
      <c r="G49" s="92"/>
      <c r="H49" s="92"/>
      <c r="I49" s="92"/>
      <c r="J49" s="91">
        <f t="shared" si="4"/>
        <v>0</v>
      </c>
      <c r="K49" s="92"/>
      <c r="L49" s="92"/>
      <c r="M49" s="92"/>
      <c r="N49" s="92"/>
      <c r="O49" s="91">
        <f t="shared" si="5"/>
        <v>0</v>
      </c>
      <c r="P49" s="92">
        <f t="shared" si="2"/>
        <v>1713145</v>
      </c>
    </row>
    <row r="50" spans="1:16" ht="48">
      <c r="A50" s="77" t="s">
        <v>359</v>
      </c>
      <c r="B50" s="77" t="s">
        <v>360</v>
      </c>
      <c r="C50" s="77" t="s">
        <v>348</v>
      </c>
      <c r="D50" s="57" t="s">
        <v>361</v>
      </c>
      <c r="E50" s="92">
        <f t="shared" si="10"/>
        <v>32456396</v>
      </c>
      <c r="F50" s="92">
        <f>30300000+618189+199131+113068+30728+43793+500000+300000+23268+38838+100000+50000+93687+45694</f>
        <v>32456396</v>
      </c>
      <c r="G50" s="92"/>
      <c r="H50" s="92"/>
      <c r="I50" s="92"/>
      <c r="J50" s="91">
        <f t="shared" si="4"/>
        <v>0</v>
      </c>
      <c r="K50" s="101"/>
      <c r="L50" s="92"/>
      <c r="M50" s="92"/>
      <c r="N50" s="92"/>
      <c r="O50" s="91">
        <f t="shared" si="5"/>
        <v>0</v>
      </c>
      <c r="P50" s="92">
        <f t="shared" si="2"/>
        <v>32456396</v>
      </c>
    </row>
    <row r="51" spans="1:16" ht="288">
      <c r="A51" s="77" t="s">
        <v>657</v>
      </c>
      <c r="B51" s="77" t="s">
        <v>658</v>
      </c>
      <c r="C51" s="77" t="s">
        <v>362</v>
      </c>
      <c r="D51" s="108" t="s">
        <v>659</v>
      </c>
      <c r="E51" s="92">
        <f>F51</f>
        <v>2636676</v>
      </c>
      <c r="F51" s="92">
        <f>1030968+805708+400000+400000</f>
        <v>2636676</v>
      </c>
      <c r="G51" s="92"/>
      <c r="H51" s="92"/>
      <c r="I51" s="92"/>
      <c r="J51" s="91"/>
      <c r="K51" s="101"/>
      <c r="L51" s="92"/>
      <c r="M51" s="92"/>
      <c r="N51" s="92"/>
      <c r="O51" s="91"/>
      <c r="P51" s="92">
        <f t="shared" si="2"/>
        <v>2636676</v>
      </c>
    </row>
    <row r="52" spans="1:16" ht="72">
      <c r="A52" s="77" t="s">
        <v>363</v>
      </c>
      <c r="B52" s="77" t="s">
        <v>364</v>
      </c>
      <c r="C52" s="77" t="s">
        <v>362</v>
      </c>
      <c r="D52" s="62" t="s">
        <v>365</v>
      </c>
      <c r="E52" s="92">
        <f t="shared" si="10"/>
        <v>199500</v>
      </c>
      <c r="F52" s="92">
        <v>199500</v>
      </c>
      <c r="G52" s="92"/>
      <c r="H52" s="92"/>
      <c r="I52" s="92"/>
      <c r="J52" s="91">
        <f t="shared" si="4"/>
        <v>0</v>
      </c>
      <c r="K52" s="92"/>
      <c r="L52" s="92"/>
      <c r="M52" s="92"/>
      <c r="N52" s="92"/>
      <c r="O52" s="91">
        <f t="shared" si="5"/>
        <v>0</v>
      </c>
      <c r="P52" s="92">
        <f t="shared" si="2"/>
        <v>199500</v>
      </c>
    </row>
    <row r="53" spans="1:16" ht="48" hidden="1">
      <c r="A53" s="77" t="s">
        <v>366</v>
      </c>
      <c r="B53" s="77" t="s">
        <v>367</v>
      </c>
      <c r="C53" s="77" t="s">
        <v>368</v>
      </c>
      <c r="D53" s="57" t="s">
        <v>369</v>
      </c>
      <c r="E53" s="92">
        <f t="shared" si="10"/>
        <v>0</v>
      </c>
      <c r="F53" s="92">
        <f>100000-100000</f>
        <v>0</v>
      </c>
      <c r="G53" s="92"/>
      <c r="H53" s="92"/>
      <c r="I53" s="92"/>
      <c r="J53" s="91">
        <f t="shared" si="4"/>
        <v>0</v>
      </c>
      <c r="K53" s="92"/>
      <c r="L53" s="92"/>
      <c r="M53" s="92"/>
      <c r="N53" s="92"/>
      <c r="O53" s="91">
        <f t="shared" si="5"/>
        <v>0</v>
      </c>
      <c r="P53" s="92">
        <f t="shared" si="2"/>
        <v>0</v>
      </c>
    </row>
    <row r="54" spans="1:16" ht="72">
      <c r="A54" s="77" t="s">
        <v>623</v>
      </c>
      <c r="B54" s="77" t="s">
        <v>572</v>
      </c>
      <c r="C54" s="77" t="s">
        <v>370</v>
      </c>
      <c r="D54" s="57" t="s">
        <v>573</v>
      </c>
      <c r="E54" s="92"/>
      <c r="F54" s="92"/>
      <c r="G54" s="92"/>
      <c r="H54" s="92"/>
      <c r="I54" s="92"/>
      <c r="J54" s="91">
        <f t="shared" si="4"/>
        <v>2725085</v>
      </c>
      <c r="K54" s="92">
        <f>1489850+401229+1061729+799188-1013643-13268</f>
        <v>2725085</v>
      </c>
      <c r="L54" s="92"/>
      <c r="M54" s="92"/>
      <c r="N54" s="92"/>
      <c r="O54" s="91">
        <f t="shared" si="5"/>
        <v>2725085</v>
      </c>
      <c r="P54" s="92">
        <f t="shared" si="2"/>
        <v>2725085</v>
      </c>
    </row>
    <row r="55" spans="1:16" ht="48">
      <c r="A55" s="77" t="s">
        <v>654</v>
      </c>
      <c r="B55" s="77" t="s">
        <v>655</v>
      </c>
      <c r="C55" s="77" t="s">
        <v>370</v>
      </c>
      <c r="D55" s="57" t="s">
        <v>656</v>
      </c>
      <c r="E55" s="92"/>
      <c r="F55" s="92"/>
      <c r="G55" s="92"/>
      <c r="H55" s="92"/>
      <c r="I55" s="92"/>
      <c r="J55" s="91">
        <f t="shared" si="4"/>
        <v>2071463</v>
      </c>
      <c r="K55" s="92">
        <f>182560+682318+245255+238931+200000+272399+250000</f>
        <v>2071463</v>
      </c>
      <c r="L55" s="92"/>
      <c r="M55" s="92"/>
      <c r="N55" s="92"/>
      <c r="O55" s="91">
        <f t="shared" si="5"/>
        <v>2071463</v>
      </c>
      <c r="P55" s="92">
        <f t="shared" si="2"/>
        <v>2071463</v>
      </c>
    </row>
    <row r="56" spans="1:16" ht="72">
      <c r="A56" s="77" t="s">
        <v>74</v>
      </c>
      <c r="B56" s="80" t="s">
        <v>619</v>
      </c>
      <c r="C56" s="77" t="s">
        <v>370</v>
      </c>
      <c r="D56" s="62" t="s">
        <v>620</v>
      </c>
      <c r="E56" s="92"/>
      <c r="F56" s="92"/>
      <c r="G56" s="92"/>
      <c r="H56" s="92"/>
      <c r="I56" s="92"/>
      <c r="J56" s="91">
        <f>K56</f>
        <v>48600</v>
      </c>
      <c r="K56" s="92">
        <f>48600</f>
        <v>48600</v>
      </c>
      <c r="L56" s="92"/>
      <c r="M56" s="92"/>
      <c r="N56" s="92"/>
      <c r="O56" s="91">
        <f t="shared" si="5"/>
        <v>48600</v>
      </c>
      <c r="P56" s="92">
        <f t="shared" si="2"/>
        <v>48600</v>
      </c>
    </row>
    <row r="57" spans="1:16" ht="48">
      <c r="A57" s="77" t="s">
        <v>608</v>
      </c>
      <c r="B57" s="77" t="s">
        <v>527</v>
      </c>
      <c r="C57" s="77" t="s">
        <v>370</v>
      </c>
      <c r="D57" s="57" t="s">
        <v>609</v>
      </c>
      <c r="E57" s="92"/>
      <c r="F57" s="92"/>
      <c r="G57" s="92"/>
      <c r="H57" s="92"/>
      <c r="I57" s="92"/>
      <c r="J57" s="91">
        <f t="shared" si="4"/>
        <v>2939539</v>
      </c>
      <c r="K57" s="92">
        <f>236684+57727+284098+1035724+60000+747973+300000+138312+53021+26000</f>
        <v>2939539</v>
      </c>
      <c r="L57" s="92"/>
      <c r="M57" s="92"/>
      <c r="N57" s="92"/>
      <c r="O57" s="91">
        <f t="shared" si="5"/>
        <v>2939539</v>
      </c>
      <c r="P57" s="92">
        <f t="shared" si="2"/>
        <v>2939539</v>
      </c>
    </row>
    <row r="58" spans="1:16" ht="120">
      <c r="A58" s="77" t="s">
        <v>584</v>
      </c>
      <c r="B58" s="77" t="s">
        <v>582</v>
      </c>
      <c r="C58" s="77" t="s">
        <v>371</v>
      </c>
      <c r="D58" s="57" t="s">
        <v>583</v>
      </c>
      <c r="E58" s="92"/>
      <c r="F58" s="92"/>
      <c r="G58" s="92"/>
      <c r="H58" s="92"/>
      <c r="I58" s="92"/>
      <c r="J58" s="91">
        <f t="shared" si="4"/>
        <v>3223795</v>
      </c>
      <c r="K58" s="92">
        <f>1204337+200000+1306707-1204337-200000-190000+2155688-48600</f>
        <v>3223795</v>
      </c>
      <c r="L58" s="92"/>
      <c r="M58" s="92"/>
      <c r="N58" s="92"/>
      <c r="O58" s="91">
        <f>K58</f>
        <v>3223795</v>
      </c>
      <c r="P58" s="92">
        <f>E58+J58</f>
        <v>3223795</v>
      </c>
    </row>
    <row r="59" spans="1:18" ht="154.5" customHeight="1">
      <c r="A59" s="77" t="s">
        <v>186</v>
      </c>
      <c r="B59" s="77" t="s">
        <v>187</v>
      </c>
      <c r="C59" s="77" t="s">
        <v>371</v>
      </c>
      <c r="D59" s="57" t="s">
        <v>188</v>
      </c>
      <c r="E59" s="92"/>
      <c r="F59" s="92"/>
      <c r="G59" s="92"/>
      <c r="H59" s="92"/>
      <c r="I59" s="92"/>
      <c r="J59" s="91">
        <f t="shared" si="4"/>
        <v>500000</v>
      </c>
      <c r="K59" s="92">
        <f>500000</f>
        <v>500000</v>
      </c>
      <c r="L59" s="92"/>
      <c r="M59" s="92"/>
      <c r="N59" s="92"/>
      <c r="O59" s="91">
        <f>K59</f>
        <v>500000</v>
      </c>
      <c r="P59" s="92">
        <f>E59+J59</f>
        <v>500000</v>
      </c>
      <c r="R59" s="277"/>
    </row>
    <row r="60" spans="1:16" ht="78.75" customHeight="1">
      <c r="A60" s="77" t="s">
        <v>650</v>
      </c>
      <c r="B60" s="77" t="s">
        <v>651</v>
      </c>
      <c r="C60" s="77" t="s">
        <v>652</v>
      </c>
      <c r="D60" s="57" t="s">
        <v>653</v>
      </c>
      <c r="E60" s="92">
        <f>F60</f>
        <v>929384</v>
      </c>
      <c r="F60" s="92">
        <f>187310+219817+130294+106917+285046</f>
        <v>929384</v>
      </c>
      <c r="G60" s="92"/>
      <c r="H60" s="92"/>
      <c r="I60" s="92"/>
      <c r="J60" s="91"/>
      <c r="K60" s="92"/>
      <c r="L60" s="92"/>
      <c r="M60" s="92"/>
      <c r="N60" s="92"/>
      <c r="O60" s="91"/>
      <c r="P60" s="92">
        <f>E60+J60</f>
        <v>929384</v>
      </c>
    </row>
    <row r="61" spans="1:16" ht="78.75" customHeight="1">
      <c r="A61" s="77" t="s">
        <v>19</v>
      </c>
      <c r="B61" s="77" t="s">
        <v>20</v>
      </c>
      <c r="C61" s="77" t="s">
        <v>652</v>
      </c>
      <c r="D61" s="57" t="s">
        <v>21</v>
      </c>
      <c r="E61" s="92">
        <f>F61</f>
        <v>645000</v>
      </c>
      <c r="F61" s="92">
        <f>195000+450000</f>
        <v>645000</v>
      </c>
      <c r="G61" s="92"/>
      <c r="H61" s="92"/>
      <c r="I61" s="92"/>
      <c r="J61" s="91"/>
      <c r="K61" s="92"/>
      <c r="L61" s="92"/>
      <c r="M61" s="92"/>
      <c r="N61" s="92"/>
      <c r="O61" s="91"/>
      <c r="P61" s="92">
        <f>E61+J61</f>
        <v>645000</v>
      </c>
    </row>
    <row r="62" spans="1:16" ht="120">
      <c r="A62" s="77" t="s">
        <v>372</v>
      </c>
      <c r="B62" s="77" t="s">
        <v>373</v>
      </c>
      <c r="C62" s="77" t="s">
        <v>374</v>
      </c>
      <c r="D62" s="57" t="s">
        <v>375</v>
      </c>
      <c r="E62" s="92">
        <f t="shared" si="10"/>
        <v>7681866</v>
      </c>
      <c r="F62" s="92">
        <f>7500000+157091+24775</f>
        <v>7681866</v>
      </c>
      <c r="G62" s="92"/>
      <c r="H62" s="92"/>
      <c r="I62" s="92"/>
      <c r="J62" s="91">
        <f t="shared" si="4"/>
        <v>17280</v>
      </c>
      <c r="K62" s="92">
        <f>17280</f>
        <v>17280</v>
      </c>
      <c r="L62" s="92"/>
      <c r="M62" s="92"/>
      <c r="N62" s="92"/>
      <c r="O62" s="91">
        <f t="shared" si="5"/>
        <v>17280</v>
      </c>
      <c r="P62" s="92">
        <f t="shared" si="2"/>
        <v>7699146</v>
      </c>
    </row>
    <row r="63" spans="1:16" ht="72">
      <c r="A63" s="77" t="s">
        <v>585</v>
      </c>
      <c r="B63" s="77" t="s">
        <v>586</v>
      </c>
      <c r="C63" s="77" t="s">
        <v>371</v>
      </c>
      <c r="D63" s="63" t="s">
        <v>587</v>
      </c>
      <c r="E63" s="92"/>
      <c r="F63" s="92"/>
      <c r="G63" s="92"/>
      <c r="H63" s="92"/>
      <c r="I63" s="92"/>
      <c r="J63" s="91">
        <f t="shared" si="4"/>
        <v>11176283</v>
      </c>
      <c r="K63" s="92">
        <f>4500000+3250000+4500000+1500000+65306+512640+945200+239000-4500000+40000+500000-790494+67224-154706-300150+222500+245292+27948+23171+134528+148824</f>
        <v>11176283</v>
      </c>
      <c r="L63" s="92"/>
      <c r="M63" s="92"/>
      <c r="N63" s="92"/>
      <c r="O63" s="91">
        <f>K63</f>
        <v>11176283</v>
      </c>
      <c r="P63" s="92">
        <f>E63+J63</f>
        <v>11176283</v>
      </c>
    </row>
    <row r="64" spans="1:16" ht="72">
      <c r="A64" s="77" t="s">
        <v>376</v>
      </c>
      <c r="B64" s="77" t="s">
        <v>377</v>
      </c>
      <c r="C64" s="77" t="s">
        <v>371</v>
      </c>
      <c r="D64" s="63" t="s">
        <v>378</v>
      </c>
      <c r="E64" s="92">
        <f t="shared" si="10"/>
        <v>29837</v>
      </c>
      <c r="F64" s="92">
        <f>25325+4512</f>
        <v>29837</v>
      </c>
      <c r="G64" s="92"/>
      <c r="H64" s="92"/>
      <c r="I64" s="92"/>
      <c r="J64" s="91">
        <f t="shared" si="4"/>
        <v>0</v>
      </c>
      <c r="K64" s="92"/>
      <c r="L64" s="92"/>
      <c r="M64" s="92"/>
      <c r="N64" s="92"/>
      <c r="O64" s="91">
        <f t="shared" si="5"/>
        <v>0</v>
      </c>
      <c r="P64" s="92">
        <f t="shared" si="2"/>
        <v>29837</v>
      </c>
    </row>
    <row r="65" spans="1:16" ht="48">
      <c r="A65" s="77" t="s">
        <v>379</v>
      </c>
      <c r="B65" s="77" t="s">
        <v>380</v>
      </c>
      <c r="C65" s="77" t="s">
        <v>371</v>
      </c>
      <c r="D65" s="57" t="s">
        <v>381</v>
      </c>
      <c r="E65" s="92">
        <f t="shared" si="10"/>
        <v>5048457</v>
      </c>
      <c r="F65" s="92">
        <f>1978205+50000+400000-50000+17669+195000+58410+78000+456628+91204-300000+386452+195364+400000+300000+32500+70027+100000+28000+49982+49731+25546+115731+10050+49958+60000+200000</f>
        <v>5048457</v>
      </c>
      <c r="G65" s="92"/>
      <c r="H65" s="92"/>
      <c r="I65" s="92"/>
      <c r="J65" s="91">
        <f t="shared" si="4"/>
        <v>0</v>
      </c>
      <c r="K65" s="92"/>
      <c r="L65" s="92"/>
      <c r="M65" s="92"/>
      <c r="N65" s="92"/>
      <c r="O65" s="91">
        <f t="shared" si="5"/>
        <v>0</v>
      </c>
      <c r="P65" s="92">
        <f t="shared" si="2"/>
        <v>5048457</v>
      </c>
    </row>
    <row r="66" spans="1:16" ht="72">
      <c r="A66" s="77" t="s">
        <v>382</v>
      </c>
      <c r="B66" s="77" t="s">
        <v>383</v>
      </c>
      <c r="C66" s="77" t="s">
        <v>384</v>
      </c>
      <c r="D66" s="64" t="s">
        <v>385</v>
      </c>
      <c r="E66" s="92">
        <f t="shared" si="10"/>
        <v>3028557</v>
      </c>
      <c r="F66" s="92">
        <f>2497345+62500+51658+417054</f>
        <v>3028557</v>
      </c>
      <c r="G66" s="92"/>
      <c r="H66" s="92"/>
      <c r="I66" s="92"/>
      <c r="J66" s="91">
        <f t="shared" si="4"/>
        <v>0</v>
      </c>
      <c r="K66" s="92"/>
      <c r="L66" s="92"/>
      <c r="M66" s="92"/>
      <c r="N66" s="92"/>
      <c r="O66" s="91">
        <f t="shared" si="5"/>
        <v>0</v>
      </c>
      <c r="P66" s="92">
        <f t="shared" si="2"/>
        <v>3028557</v>
      </c>
    </row>
    <row r="67" spans="1:16" ht="48">
      <c r="A67" s="77" t="s">
        <v>386</v>
      </c>
      <c r="B67" s="77" t="s">
        <v>387</v>
      </c>
      <c r="C67" s="77" t="s">
        <v>388</v>
      </c>
      <c r="D67" s="62" t="s">
        <v>389</v>
      </c>
      <c r="E67" s="92"/>
      <c r="F67" s="92"/>
      <c r="G67" s="92"/>
      <c r="H67" s="92"/>
      <c r="I67" s="92"/>
      <c r="J67" s="91">
        <f t="shared" si="4"/>
        <v>925958</v>
      </c>
      <c r="K67" s="92"/>
      <c r="L67" s="92">
        <f>212000+433958</f>
        <v>645958</v>
      </c>
      <c r="M67" s="92"/>
      <c r="N67" s="92"/>
      <c r="O67" s="91">
        <f>280000</f>
        <v>280000</v>
      </c>
      <c r="P67" s="92">
        <f t="shared" si="2"/>
        <v>925958</v>
      </c>
    </row>
    <row r="68" spans="1:16" ht="48">
      <c r="A68" s="77" t="s">
        <v>390</v>
      </c>
      <c r="B68" s="77" t="s">
        <v>391</v>
      </c>
      <c r="C68" s="77" t="s">
        <v>392</v>
      </c>
      <c r="D68" s="62" t="s">
        <v>393</v>
      </c>
      <c r="E68" s="92">
        <f t="shared" si="10"/>
        <v>818788</v>
      </c>
      <c r="F68" s="92">
        <f>749450+69338</f>
        <v>818788</v>
      </c>
      <c r="G68" s="92"/>
      <c r="H68" s="92"/>
      <c r="I68" s="92"/>
      <c r="J68" s="91">
        <f t="shared" si="4"/>
        <v>0</v>
      </c>
      <c r="K68" s="92"/>
      <c r="L68" s="92"/>
      <c r="M68" s="92"/>
      <c r="N68" s="92"/>
      <c r="O68" s="91">
        <f t="shared" si="5"/>
        <v>0</v>
      </c>
      <c r="P68" s="92">
        <f t="shared" si="2"/>
        <v>818788</v>
      </c>
    </row>
    <row r="69" spans="1:16" ht="48.75" thickBot="1">
      <c r="A69" s="79" t="s">
        <v>394</v>
      </c>
      <c r="B69" s="79" t="s">
        <v>395</v>
      </c>
      <c r="C69" s="79" t="s">
        <v>392</v>
      </c>
      <c r="D69" s="65" t="s">
        <v>396</v>
      </c>
      <c r="E69" s="93">
        <f t="shared" si="10"/>
        <v>1270255</v>
      </c>
      <c r="F69" s="93">
        <f>1070455+199800</f>
        <v>1270255</v>
      </c>
      <c r="G69" s="93"/>
      <c r="H69" s="93"/>
      <c r="I69" s="93"/>
      <c r="J69" s="94">
        <f t="shared" si="4"/>
        <v>0</v>
      </c>
      <c r="K69" s="93"/>
      <c r="L69" s="93"/>
      <c r="M69" s="93"/>
      <c r="N69" s="93"/>
      <c r="O69" s="94">
        <f t="shared" si="5"/>
        <v>0</v>
      </c>
      <c r="P69" s="93">
        <f t="shared" si="2"/>
        <v>1270255</v>
      </c>
    </row>
    <row r="70" spans="1:16" s="15" customFormat="1" ht="69.75">
      <c r="A70" s="75" t="s">
        <v>397</v>
      </c>
      <c r="B70" s="75"/>
      <c r="C70" s="75"/>
      <c r="D70" s="54" t="s">
        <v>398</v>
      </c>
      <c r="E70" s="89">
        <f>E71</f>
        <v>276996496</v>
      </c>
      <c r="F70" s="89">
        <f aca="true" t="shared" si="11" ref="F70:N70">F71</f>
        <v>276996496</v>
      </c>
      <c r="G70" s="89">
        <f t="shared" si="11"/>
        <v>233159802</v>
      </c>
      <c r="H70" s="89">
        <f t="shared" si="11"/>
        <v>25763653</v>
      </c>
      <c r="I70" s="89">
        <f t="shared" si="11"/>
        <v>0</v>
      </c>
      <c r="J70" s="89">
        <f t="shared" si="11"/>
        <v>18142388</v>
      </c>
      <c r="K70" s="89">
        <f t="shared" si="11"/>
        <v>10057395</v>
      </c>
      <c r="L70" s="89">
        <f t="shared" si="11"/>
        <v>8084993</v>
      </c>
      <c r="M70" s="89">
        <f t="shared" si="11"/>
        <v>1371748</v>
      </c>
      <c r="N70" s="89">
        <f t="shared" si="11"/>
        <v>35707</v>
      </c>
      <c r="O70" s="95">
        <f t="shared" si="5"/>
        <v>10057395</v>
      </c>
      <c r="P70" s="89">
        <f t="shared" si="2"/>
        <v>295138884</v>
      </c>
    </row>
    <row r="71" spans="1:16" s="15" customFormat="1" ht="69.75">
      <c r="A71" s="76" t="s">
        <v>399</v>
      </c>
      <c r="B71" s="76"/>
      <c r="C71" s="76"/>
      <c r="D71" s="55" t="s">
        <v>398</v>
      </c>
      <c r="E71" s="90">
        <f>E72+E73+E74+E86+E87+E88+E89+E90+E97+E99+E96</f>
        <v>276996496</v>
      </c>
      <c r="F71" s="90">
        <f>F72+F73+F74+F86+F87+F88+F89+F90+F97+F99+F96</f>
        <v>276996496</v>
      </c>
      <c r="G71" s="90">
        <f>G72+G73+G74+G86+G87+G88+G89+G90+G97+G99+G96</f>
        <v>233159802</v>
      </c>
      <c r="H71" s="90">
        <f>H72+H73+H74+H86+H87+H88+H89+H90+H97+H99+H96</f>
        <v>25763653</v>
      </c>
      <c r="I71" s="90">
        <f>I72+I73+I74+I86+I87+I88+I89+I90+I97+I99</f>
        <v>0</v>
      </c>
      <c r="J71" s="90">
        <f aca="true" t="shared" si="12" ref="J71:O71">J72+J73+J74+J86+J87+J88+J89+J90+J97+J98+J99+J93</f>
        <v>18142388</v>
      </c>
      <c r="K71" s="90">
        <f t="shared" si="12"/>
        <v>10057395</v>
      </c>
      <c r="L71" s="90">
        <f t="shared" si="12"/>
        <v>8084993</v>
      </c>
      <c r="M71" s="90">
        <f t="shared" si="12"/>
        <v>1371748</v>
      </c>
      <c r="N71" s="90">
        <f t="shared" si="12"/>
        <v>35707</v>
      </c>
      <c r="O71" s="90">
        <f t="shared" si="12"/>
        <v>10057395</v>
      </c>
      <c r="P71" s="90">
        <f t="shared" si="2"/>
        <v>295138884</v>
      </c>
    </row>
    <row r="72" spans="1:16" ht="120">
      <c r="A72" s="77" t="s">
        <v>400</v>
      </c>
      <c r="B72" s="77" t="s">
        <v>401</v>
      </c>
      <c r="C72" s="77" t="s">
        <v>306</v>
      </c>
      <c r="D72" s="57" t="s">
        <v>402</v>
      </c>
      <c r="E72" s="92">
        <f>F72</f>
        <v>1648280</v>
      </c>
      <c r="F72" s="92">
        <f>1543305+87475+17500</f>
        <v>1648280</v>
      </c>
      <c r="G72" s="92">
        <f>1437782+87475</f>
        <v>1525257</v>
      </c>
      <c r="H72" s="92">
        <v>61615</v>
      </c>
      <c r="I72" s="92"/>
      <c r="J72" s="91">
        <f t="shared" si="4"/>
        <v>13000</v>
      </c>
      <c r="K72" s="92">
        <f>13000</f>
        <v>13000</v>
      </c>
      <c r="L72" s="92"/>
      <c r="M72" s="92"/>
      <c r="N72" s="92"/>
      <c r="O72" s="91">
        <f t="shared" si="5"/>
        <v>13000</v>
      </c>
      <c r="P72" s="92">
        <f t="shared" si="2"/>
        <v>1661280</v>
      </c>
    </row>
    <row r="73" spans="1:16" ht="24">
      <c r="A73" s="77" t="s">
        <v>403</v>
      </c>
      <c r="B73" s="77" t="s">
        <v>404</v>
      </c>
      <c r="C73" s="77" t="s">
        <v>405</v>
      </c>
      <c r="D73" s="57" t="s">
        <v>406</v>
      </c>
      <c r="E73" s="92">
        <f>F73</f>
        <v>88825529</v>
      </c>
      <c r="F73" s="92">
        <f>78894027+4672462+2490037-472825+3877569+28916-500000-16800-16000-12500-6794-49950+49950-22980-13588-10096-49899-16000</f>
        <v>88825529</v>
      </c>
      <c r="G73" s="92">
        <f>63227525+4140907+2061205+3196291</f>
        <v>72625928</v>
      </c>
      <c r="H73" s="92">
        <f>11705083+332650+292993-472824+428855-500000-49950-22980-13588-10096-49899-16000</f>
        <v>11624244</v>
      </c>
      <c r="I73" s="92"/>
      <c r="J73" s="91">
        <f t="shared" si="4"/>
        <v>5249390</v>
      </c>
      <c r="K73" s="92">
        <f>12000+16800+16800+16000+6794+22980+13588+16000</f>
        <v>120962</v>
      </c>
      <c r="L73" s="92">
        <f>4487928+414750+225750</f>
        <v>5128428</v>
      </c>
      <c r="M73" s="92"/>
      <c r="N73" s="92"/>
      <c r="O73" s="91">
        <f t="shared" si="5"/>
        <v>120962</v>
      </c>
      <c r="P73" s="92">
        <f t="shared" si="2"/>
        <v>94074919</v>
      </c>
    </row>
    <row r="74" spans="1:16" ht="144">
      <c r="A74" s="77" t="s">
        <v>407</v>
      </c>
      <c r="B74" s="77" t="s">
        <v>408</v>
      </c>
      <c r="C74" s="77" t="s">
        <v>409</v>
      </c>
      <c r="D74" s="56" t="s">
        <v>611</v>
      </c>
      <c r="E74" s="92">
        <f>SUM(E76:E85)</f>
        <v>172170200</v>
      </c>
      <c r="F74" s="92">
        <f aca="true" t="shared" si="13" ref="F74:O74">SUM(F76:F85)</f>
        <v>172170200</v>
      </c>
      <c r="G74" s="92">
        <f t="shared" si="13"/>
        <v>145820662</v>
      </c>
      <c r="H74" s="92">
        <f t="shared" si="13"/>
        <v>13182197</v>
      </c>
      <c r="I74" s="92">
        <f t="shared" si="13"/>
        <v>0</v>
      </c>
      <c r="J74" s="92">
        <f t="shared" si="13"/>
        <v>4206405</v>
      </c>
      <c r="K74" s="92">
        <f t="shared" si="13"/>
        <v>1249840</v>
      </c>
      <c r="L74" s="92">
        <f t="shared" si="13"/>
        <v>2956565</v>
      </c>
      <c r="M74" s="92">
        <f t="shared" si="13"/>
        <v>1371748</v>
      </c>
      <c r="N74" s="92">
        <f t="shared" si="13"/>
        <v>35707</v>
      </c>
      <c r="O74" s="92">
        <f t="shared" si="13"/>
        <v>1249840</v>
      </c>
      <c r="P74" s="92">
        <f t="shared" si="2"/>
        <v>176376605</v>
      </c>
    </row>
    <row r="75" spans="1:16" ht="24" hidden="1">
      <c r="A75" s="77"/>
      <c r="B75" s="77"/>
      <c r="C75" s="77"/>
      <c r="D75" s="66" t="s">
        <v>308</v>
      </c>
      <c r="E75" s="92"/>
      <c r="F75" s="92"/>
      <c r="G75" s="92"/>
      <c r="H75" s="92"/>
      <c r="I75" s="92"/>
      <c r="J75" s="91">
        <f t="shared" si="4"/>
        <v>0</v>
      </c>
      <c r="K75" s="92"/>
      <c r="L75" s="92"/>
      <c r="M75" s="92"/>
      <c r="N75" s="92"/>
      <c r="O75" s="91">
        <f t="shared" si="5"/>
        <v>0</v>
      </c>
      <c r="P75" s="92">
        <f t="shared" si="2"/>
        <v>0</v>
      </c>
    </row>
    <row r="76" spans="1:16" ht="48" hidden="1">
      <c r="A76" s="77"/>
      <c r="B76" s="77"/>
      <c r="C76" s="77"/>
      <c r="D76" s="67" t="s">
        <v>410</v>
      </c>
      <c r="E76" s="92">
        <f>F76</f>
        <v>116266948</v>
      </c>
      <c r="F76" s="92">
        <f>94732600+18873+19297400+2775+2215300</f>
        <v>116266948</v>
      </c>
      <c r="G76" s="92">
        <f>94732600+18873+19297400+2775+2215300</f>
        <v>116266948</v>
      </c>
      <c r="H76" s="92"/>
      <c r="I76" s="92"/>
      <c r="J76" s="91">
        <f t="shared" si="4"/>
        <v>0</v>
      </c>
      <c r="K76" s="92"/>
      <c r="L76" s="92"/>
      <c r="M76" s="92"/>
      <c r="N76" s="92"/>
      <c r="O76" s="91">
        <f t="shared" si="5"/>
        <v>0</v>
      </c>
      <c r="P76" s="92">
        <f t="shared" si="2"/>
        <v>116266948</v>
      </c>
    </row>
    <row r="77" spans="1:16" ht="48" hidden="1">
      <c r="A77" s="77"/>
      <c r="B77" s="77"/>
      <c r="C77" s="77"/>
      <c r="D77" s="67" t="s">
        <v>411</v>
      </c>
      <c r="E77" s="92"/>
      <c r="F77" s="92"/>
      <c r="G77" s="92"/>
      <c r="H77" s="92"/>
      <c r="I77" s="92"/>
      <c r="J77" s="91">
        <f t="shared" si="4"/>
        <v>0</v>
      </c>
      <c r="K77" s="92"/>
      <c r="L77" s="92"/>
      <c r="M77" s="92"/>
      <c r="N77" s="92"/>
      <c r="O77" s="91">
        <f t="shared" si="5"/>
        <v>0</v>
      </c>
      <c r="P77" s="92">
        <f t="shared" si="2"/>
        <v>0</v>
      </c>
    </row>
    <row r="78" spans="1:16" ht="216" hidden="1">
      <c r="A78" s="77"/>
      <c r="B78" s="77"/>
      <c r="C78" s="77"/>
      <c r="D78" s="67" t="s">
        <v>412</v>
      </c>
      <c r="E78" s="92">
        <f>F78</f>
        <v>1384149</v>
      </c>
      <c r="F78" s="92">
        <f>1536303+1877-328856+174825</f>
        <v>1384149</v>
      </c>
      <c r="G78" s="92"/>
      <c r="H78" s="92"/>
      <c r="I78" s="92"/>
      <c r="J78" s="91">
        <f t="shared" si="4"/>
        <v>346153</v>
      </c>
      <c r="K78" s="92">
        <f>520437+541-174825</f>
        <v>346153</v>
      </c>
      <c r="L78" s="92"/>
      <c r="M78" s="92"/>
      <c r="N78" s="92"/>
      <c r="O78" s="91">
        <f t="shared" si="5"/>
        <v>346153</v>
      </c>
      <c r="P78" s="92">
        <f>J78+E78</f>
        <v>1730302</v>
      </c>
    </row>
    <row r="79" spans="1:16" ht="216" hidden="1">
      <c r="A79" s="77"/>
      <c r="B79" s="77"/>
      <c r="C79" s="77"/>
      <c r="D79" s="67" t="s">
        <v>244</v>
      </c>
      <c r="E79" s="92">
        <f>F79</f>
        <v>755555</v>
      </c>
      <c r="F79" s="92">
        <f>135900+38441+113250+467964</f>
        <v>755555</v>
      </c>
      <c r="G79" s="92">
        <f>135900+38441+113250+467964</f>
        <v>755555</v>
      </c>
      <c r="H79" s="92"/>
      <c r="I79" s="92"/>
      <c r="J79" s="91">
        <f t="shared" si="4"/>
        <v>219417</v>
      </c>
      <c r="K79" s="92">
        <f>O79</f>
        <v>219417</v>
      </c>
      <c r="L79" s="92"/>
      <c r="M79" s="92"/>
      <c r="N79" s="92"/>
      <c r="O79" s="91">
        <f>144000+120000-44583</f>
        <v>219417</v>
      </c>
      <c r="P79" s="92">
        <f t="shared" si="2"/>
        <v>974972</v>
      </c>
    </row>
    <row r="80" spans="1:16" ht="168" hidden="1">
      <c r="A80" s="77"/>
      <c r="B80" s="77"/>
      <c r="C80" s="77"/>
      <c r="D80" s="67" t="s">
        <v>413</v>
      </c>
      <c r="E80" s="92"/>
      <c r="F80" s="92"/>
      <c r="G80" s="92"/>
      <c r="H80" s="92"/>
      <c r="I80" s="92"/>
      <c r="J80" s="91">
        <f t="shared" si="4"/>
        <v>0</v>
      </c>
      <c r="K80" s="92"/>
      <c r="L80" s="92"/>
      <c r="M80" s="92"/>
      <c r="N80" s="92"/>
      <c r="O80" s="91">
        <f t="shared" si="5"/>
        <v>0</v>
      </c>
      <c r="P80" s="92">
        <f t="shared" si="2"/>
        <v>0</v>
      </c>
    </row>
    <row r="81" spans="1:16" ht="192" hidden="1">
      <c r="A81" s="77"/>
      <c r="B81" s="77"/>
      <c r="C81" s="77"/>
      <c r="D81" s="67" t="s">
        <v>414</v>
      </c>
      <c r="E81" s="92"/>
      <c r="F81" s="92"/>
      <c r="G81" s="92"/>
      <c r="H81" s="92"/>
      <c r="I81" s="92"/>
      <c r="J81" s="91">
        <f t="shared" si="4"/>
        <v>0</v>
      </c>
      <c r="K81" s="92"/>
      <c r="L81" s="92"/>
      <c r="M81" s="92"/>
      <c r="N81" s="92"/>
      <c r="O81" s="91">
        <f t="shared" si="5"/>
        <v>0</v>
      </c>
      <c r="P81" s="92">
        <f t="shared" si="2"/>
        <v>0</v>
      </c>
    </row>
    <row r="82" spans="1:16" ht="216" hidden="1">
      <c r="A82" s="77"/>
      <c r="B82" s="77"/>
      <c r="C82" s="77"/>
      <c r="D82" s="100" t="s">
        <v>593</v>
      </c>
      <c r="E82" s="92">
        <f>F82</f>
        <v>1256800</v>
      </c>
      <c r="F82" s="92">
        <f>1256800</f>
        <v>1256800</v>
      </c>
      <c r="G82" s="92"/>
      <c r="H82" s="92">
        <v>1256800</v>
      </c>
      <c r="I82" s="92"/>
      <c r="J82" s="91"/>
      <c r="K82" s="92"/>
      <c r="L82" s="92"/>
      <c r="M82" s="92"/>
      <c r="N82" s="92"/>
      <c r="O82" s="91"/>
      <c r="P82" s="92">
        <f t="shared" si="2"/>
        <v>1256800</v>
      </c>
    </row>
    <row r="83" spans="1:16" ht="144" hidden="1">
      <c r="A83" s="77"/>
      <c r="B83" s="77"/>
      <c r="C83" s="77"/>
      <c r="D83" s="102" t="s">
        <v>607</v>
      </c>
      <c r="E83" s="92"/>
      <c r="F83" s="92"/>
      <c r="G83" s="92"/>
      <c r="H83" s="92"/>
      <c r="I83" s="92"/>
      <c r="J83" s="91">
        <f>K83+L83</f>
        <v>0</v>
      </c>
      <c r="K83" s="92"/>
      <c r="L83" s="92"/>
      <c r="M83" s="92"/>
      <c r="N83" s="92">
        <f>K83</f>
        <v>0</v>
      </c>
      <c r="O83" s="91"/>
      <c r="P83" s="92">
        <f t="shared" si="2"/>
        <v>0</v>
      </c>
    </row>
    <row r="84" spans="1:16" ht="144.75" hidden="1" thickBot="1">
      <c r="A84" s="77"/>
      <c r="B84" s="77"/>
      <c r="C84" s="77"/>
      <c r="D84" s="70" t="s">
        <v>25</v>
      </c>
      <c r="E84" s="92">
        <f>F84</f>
        <v>238286</v>
      </c>
      <c r="F84" s="92">
        <f>15190+223096</f>
        <v>238286</v>
      </c>
      <c r="G84" s="92"/>
      <c r="H84" s="92"/>
      <c r="I84" s="92"/>
      <c r="J84" s="91">
        <f>K84+L84</f>
        <v>479017</v>
      </c>
      <c r="K84" s="92">
        <f>132769+346248</f>
        <v>479017</v>
      </c>
      <c r="L84" s="92"/>
      <c r="M84" s="92"/>
      <c r="N84" s="92"/>
      <c r="O84" s="91">
        <f>K84</f>
        <v>479017</v>
      </c>
      <c r="P84" s="92">
        <f t="shared" si="2"/>
        <v>717303</v>
      </c>
    </row>
    <row r="85" spans="1:16" ht="24" hidden="1">
      <c r="A85" s="77"/>
      <c r="B85" s="77"/>
      <c r="C85" s="77"/>
      <c r="D85" s="57" t="s">
        <v>323</v>
      </c>
      <c r="E85" s="92">
        <f aca="true" t="shared" si="14" ref="E85:E97">F85</f>
        <v>52268462</v>
      </c>
      <c r="F85" s="92">
        <f>51371014+2284676-671908+2418084+1380210-1256800+34340+38094+517478-45716-3313+6510-105436+804-2000000-102723-400718-56663-49185-500000-112748-45503-373004-59031</f>
        <v>52268462</v>
      </c>
      <c r="G85" s="92">
        <f>26001972+1356916+1439271</f>
        <v>28798159</v>
      </c>
      <c r="H85" s="92">
        <f>15460808+607240-671909+503340-1256800-2000000-500000-112748-45503-59031</f>
        <v>11925397</v>
      </c>
      <c r="I85" s="92"/>
      <c r="J85" s="91">
        <f t="shared" si="4"/>
        <v>3161818</v>
      </c>
      <c r="K85" s="92">
        <f>148120+56901+232</f>
        <v>205253</v>
      </c>
      <c r="L85" s="92">
        <f>2719655+24750+212160</f>
        <v>2956565</v>
      </c>
      <c r="M85" s="92">
        <f>1124382+247366</f>
        <v>1371748</v>
      </c>
      <c r="N85" s="92">
        <f>35707</f>
        <v>35707</v>
      </c>
      <c r="O85" s="91">
        <f t="shared" si="5"/>
        <v>205253</v>
      </c>
      <c r="P85" s="92">
        <f t="shared" si="2"/>
        <v>55430280</v>
      </c>
    </row>
    <row r="86" spans="1:16" ht="120">
      <c r="A86" s="77" t="s">
        <v>415</v>
      </c>
      <c r="B86" s="77" t="s">
        <v>344</v>
      </c>
      <c r="C86" s="77" t="s">
        <v>416</v>
      </c>
      <c r="D86" s="57" t="s">
        <v>612</v>
      </c>
      <c r="E86" s="92">
        <f t="shared" si="14"/>
        <v>6251457</v>
      </c>
      <c r="F86" s="92">
        <f>6250010+11119-5443-4229</f>
        <v>6251457</v>
      </c>
      <c r="G86" s="92">
        <v>5836040</v>
      </c>
      <c r="H86" s="92">
        <v>348110</v>
      </c>
      <c r="I86" s="92"/>
      <c r="J86" s="91">
        <f t="shared" si="4"/>
        <v>0</v>
      </c>
      <c r="K86" s="92"/>
      <c r="L86" s="92"/>
      <c r="M86" s="92"/>
      <c r="N86" s="92"/>
      <c r="O86" s="91">
        <f t="shared" si="5"/>
        <v>0</v>
      </c>
      <c r="P86" s="92">
        <f t="shared" si="2"/>
        <v>6251457</v>
      </c>
    </row>
    <row r="87" spans="1:16" ht="48">
      <c r="A87" s="77" t="s">
        <v>417</v>
      </c>
      <c r="B87" s="77" t="s">
        <v>418</v>
      </c>
      <c r="C87" s="77" t="s">
        <v>419</v>
      </c>
      <c r="D87" s="57" t="s">
        <v>613</v>
      </c>
      <c r="E87" s="92">
        <f t="shared" si="14"/>
        <v>1458620</v>
      </c>
      <c r="F87" s="92">
        <f>1453177+5443</f>
        <v>1458620</v>
      </c>
      <c r="G87" s="92">
        <v>1381902</v>
      </c>
      <c r="H87" s="92">
        <v>44964</v>
      </c>
      <c r="I87" s="92"/>
      <c r="J87" s="91">
        <f t="shared" si="4"/>
        <v>0</v>
      </c>
      <c r="K87" s="92"/>
      <c r="L87" s="92"/>
      <c r="M87" s="92"/>
      <c r="N87" s="92"/>
      <c r="O87" s="91">
        <f t="shared" si="5"/>
        <v>0</v>
      </c>
      <c r="P87" s="92">
        <f t="shared" si="2"/>
        <v>1458620</v>
      </c>
    </row>
    <row r="88" spans="1:16" ht="72">
      <c r="A88" s="77" t="s">
        <v>420</v>
      </c>
      <c r="B88" s="77" t="s">
        <v>421</v>
      </c>
      <c r="C88" s="77" t="s">
        <v>419</v>
      </c>
      <c r="D88" s="68" t="s">
        <v>422</v>
      </c>
      <c r="E88" s="92">
        <f t="shared" si="14"/>
        <v>2446516</v>
      </c>
      <c r="F88" s="92">
        <v>2446516</v>
      </c>
      <c r="G88" s="92">
        <f>2067809+229809</f>
        <v>2297618</v>
      </c>
      <c r="H88" s="92">
        <v>76668</v>
      </c>
      <c r="I88" s="92"/>
      <c r="J88" s="91">
        <f t="shared" si="4"/>
        <v>35000</v>
      </c>
      <c r="K88" s="92">
        <f>35000</f>
        <v>35000</v>
      </c>
      <c r="L88" s="92"/>
      <c r="M88" s="92"/>
      <c r="N88" s="92"/>
      <c r="O88" s="91">
        <f t="shared" si="5"/>
        <v>35000</v>
      </c>
      <c r="P88" s="92">
        <f t="shared" si="2"/>
        <v>2481516</v>
      </c>
    </row>
    <row r="89" spans="1:18" ht="48">
      <c r="A89" s="77" t="s">
        <v>423</v>
      </c>
      <c r="B89" s="77" t="s">
        <v>424</v>
      </c>
      <c r="C89" s="77" t="s">
        <v>419</v>
      </c>
      <c r="D89" s="57" t="s">
        <v>425</v>
      </c>
      <c r="E89" s="91">
        <f t="shared" si="14"/>
        <v>30770</v>
      </c>
      <c r="F89" s="91">
        <v>30770</v>
      </c>
      <c r="G89" s="91"/>
      <c r="H89" s="91"/>
      <c r="I89" s="91"/>
      <c r="J89" s="91">
        <f t="shared" si="4"/>
        <v>0</v>
      </c>
      <c r="K89" s="91"/>
      <c r="L89" s="91"/>
      <c r="M89" s="91"/>
      <c r="N89" s="91"/>
      <c r="O89" s="91">
        <f t="shared" si="5"/>
        <v>0</v>
      </c>
      <c r="P89" s="92">
        <f t="shared" si="2"/>
        <v>30770</v>
      </c>
      <c r="R89" s="277"/>
    </row>
    <row r="90" spans="1:16" ht="72">
      <c r="A90" s="77" t="s">
        <v>426</v>
      </c>
      <c r="B90" s="77" t="s">
        <v>427</v>
      </c>
      <c r="C90" s="77" t="s">
        <v>419</v>
      </c>
      <c r="D90" s="57" t="s">
        <v>428</v>
      </c>
      <c r="E90" s="96">
        <f>SUM(E91:E92)</f>
        <v>1137204</v>
      </c>
      <c r="F90" s="96">
        <f aca="true" t="shared" si="15" ref="F90:O90">SUM(F91:F92)</f>
        <v>1137204</v>
      </c>
      <c r="G90" s="96">
        <f t="shared" si="15"/>
        <v>1068076</v>
      </c>
      <c r="H90" s="96">
        <f t="shared" si="15"/>
        <v>63385</v>
      </c>
      <c r="I90" s="96">
        <f t="shared" si="15"/>
        <v>0</v>
      </c>
      <c r="J90" s="96">
        <f t="shared" si="15"/>
        <v>0</v>
      </c>
      <c r="K90" s="96">
        <f t="shared" si="15"/>
        <v>0</v>
      </c>
      <c r="L90" s="96">
        <f t="shared" si="15"/>
        <v>0</v>
      </c>
      <c r="M90" s="96">
        <f t="shared" si="15"/>
        <v>0</v>
      </c>
      <c r="N90" s="96">
        <f t="shared" si="15"/>
        <v>0</v>
      </c>
      <c r="O90" s="96">
        <f t="shared" si="15"/>
        <v>0</v>
      </c>
      <c r="P90" s="92">
        <f aca="true" t="shared" si="16" ref="P90:P96">E90+J90</f>
        <v>1137204</v>
      </c>
    </row>
    <row r="91" spans="1:16" ht="120" hidden="1">
      <c r="A91" s="80"/>
      <c r="B91" s="80"/>
      <c r="C91" s="80"/>
      <c r="D91" s="69" t="s">
        <v>594</v>
      </c>
      <c r="E91" s="97">
        <f>F91</f>
        <v>882064</v>
      </c>
      <c r="F91" s="97">
        <f>844767+37297</f>
        <v>882064</v>
      </c>
      <c r="G91" s="97">
        <f>844767+37297</f>
        <v>882064</v>
      </c>
      <c r="H91" s="97"/>
      <c r="I91" s="97"/>
      <c r="J91" s="97"/>
      <c r="K91" s="97"/>
      <c r="L91" s="97"/>
      <c r="M91" s="97"/>
      <c r="N91" s="97"/>
      <c r="O91" s="97"/>
      <c r="P91" s="92">
        <f t="shared" si="16"/>
        <v>882064</v>
      </c>
    </row>
    <row r="92" spans="1:16" ht="24" hidden="1">
      <c r="A92" s="80"/>
      <c r="B92" s="80"/>
      <c r="C92" s="80"/>
      <c r="D92" s="69" t="s">
        <v>323</v>
      </c>
      <c r="E92" s="91">
        <f>F92</f>
        <v>255140</v>
      </c>
      <c r="F92" s="91">
        <v>255140</v>
      </c>
      <c r="G92" s="91">
        <v>186012</v>
      </c>
      <c r="H92" s="91">
        <v>63385</v>
      </c>
      <c r="I92" s="97"/>
      <c r="J92" s="97"/>
      <c r="K92" s="97"/>
      <c r="L92" s="97"/>
      <c r="M92" s="97"/>
      <c r="N92" s="97"/>
      <c r="O92" s="97"/>
      <c r="P92" s="92">
        <f t="shared" si="16"/>
        <v>255140</v>
      </c>
    </row>
    <row r="93" spans="1:16" ht="96">
      <c r="A93" s="80" t="s">
        <v>227</v>
      </c>
      <c r="B93" s="80" t="s">
        <v>228</v>
      </c>
      <c r="C93" s="80" t="s">
        <v>419</v>
      </c>
      <c r="D93" s="281" t="s">
        <v>229</v>
      </c>
      <c r="E93" s="97"/>
      <c r="F93" s="97"/>
      <c r="G93" s="97"/>
      <c r="H93" s="97"/>
      <c r="I93" s="97"/>
      <c r="J93" s="97">
        <f aca="true" t="shared" si="17" ref="J93:O93">J94+J95</f>
        <v>1135725</v>
      </c>
      <c r="K93" s="97">
        <f t="shared" si="17"/>
        <v>1135725</v>
      </c>
      <c r="L93" s="97">
        <f t="shared" si="17"/>
        <v>0</v>
      </c>
      <c r="M93" s="97">
        <f t="shared" si="17"/>
        <v>0</v>
      </c>
      <c r="N93" s="97">
        <f t="shared" si="17"/>
        <v>0</v>
      </c>
      <c r="O93" s="97">
        <f t="shared" si="17"/>
        <v>1135725</v>
      </c>
      <c r="P93" s="92">
        <f t="shared" si="16"/>
        <v>1135725</v>
      </c>
    </row>
    <row r="94" spans="1:16" ht="24" hidden="1">
      <c r="A94" s="80"/>
      <c r="B94" s="80"/>
      <c r="C94" s="80"/>
      <c r="D94" s="69" t="s">
        <v>230</v>
      </c>
      <c r="E94" s="97"/>
      <c r="F94" s="97"/>
      <c r="G94" s="97"/>
      <c r="H94" s="97"/>
      <c r="I94" s="97"/>
      <c r="J94" s="91">
        <f t="shared" si="4"/>
        <v>795007</v>
      </c>
      <c r="K94" s="97">
        <v>795007</v>
      </c>
      <c r="L94" s="97"/>
      <c r="M94" s="97"/>
      <c r="N94" s="97"/>
      <c r="O94" s="91">
        <f t="shared" si="5"/>
        <v>795007</v>
      </c>
      <c r="P94" s="92">
        <f t="shared" si="16"/>
        <v>795007</v>
      </c>
    </row>
    <row r="95" spans="1:16" ht="24" hidden="1">
      <c r="A95" s="80"/>
      <c r="B95" s="80"/>
      <c r="C95" s="80"/>
      <c r="D95" s="69" t="s">
        <v>323</v>
      </c>
      <c r="E95" s="97"/>
      <c r="F95" s="97"/>
      <c r="G95" s="97"/>
      <c r="H95" s="97"/>
      <c r="I95" s="97"/>
      <c r="J95" s="91">
        <f t="shared" si="4"/>
        <v>340718</v>
      </c>
      <c r="K95" s="97">
        <v>340718</v>
      </c>
      <c r="L95" s="97"/>
      <c r="M95" s="97"/>
      <c r="N95" s="97"/>
      <c r="O95" s="91">
        <f t="shared" si="5"/>
        <v>340718</v>
      </c>
      <c r="P95" s="92">
        <f t="shared" si="16"/>
        <v>340718</v>
      </c>
    </row>
    <row r="96" spans="1:16" ht="48">
      <c r="A96" s="80" t="s">
        <v>637</v>
      </c>
      <c r="B96" s="80" t="s">
        <v>638</v>
      </c>
      <c r="C96" s="80" t="s">
        <v>639</v>
      </c>
      <c r="D96" s="69" t="s">
        <v>640</v>
      </c>
      <c r="E96" s="97">
        <f>F96</f>
        <v>2880</v>
      </c>
      <c r="F96" s="97">
        <v>2880</v>
      </c>
      <c r="G96" s="97">
        <v>2880</v>
      </c>
      <c r="H96" s="97"/>
      <c r="I96" s="97"/>
      <c r="J96" s="97"/>
      <c r="K96" s="97"/>
      <c r="L96" s="97"/>
      <c r="M96" s="97"/>
      <c r="N96" s="97"/>
      <c r="O96" s="97"/>
      <c r="P96" s="98">
        <f t="shared" si="16"/>
        <v>2880</v>
      </c>
    </row>
    <row r="97" spans="1:16" ht="96">
      <c r="A97" s="77" t="s">
        <v>429</v>
      </c>
      <c r="B97" s="77" t="s">
        <v>430</v>
      </c>
      <c r="C97" s="77" t="s">
        <v>431</v>
      </c>
      <c r="D97" s="57" t="s">
        <v>432</v>
      </c>
      <c r="E97" s="91">
        <f t="shared" si="14"/>
        <v>3025040</v>
      </c>
      <c r="F97" s="91">
        <f>2698420+331620-5000</f>
        <v>3025040</v>
      </c>
      <c r="G97" s="91">
        <f>2269819+331620</f>
        <v>2601439</v>
      </c>
      <c r="H97" s="91">
        <v>362470</v>
      </c>
      <c r="I97" s="91"/>
      <c r="J97" s="91">
        <f t="shared" si="4"/>
        <v>10000</v>
      </c>
      <c r="K97" s="91">
        <f>10000</f>
        <v>10000</v>
      </c>
      <c r="L97" s="91"/>
      <c r="M97" s="91"/>
      <c r="N97" s="91"/>
      <c r="O97" s="91">
        <f t="shared" si="5"/>
        <v>10000</v>
      </c>
      <c r="P97" s="92">
        <f t="shared" si="2"/>
        <v>3035040</v>
      </c>
    </row>
    <row r="98" spans="1:16" ht="48.75" thickBot="1">
      <c r="A98" s="79" t="s">
        <v>615</v>
      </c>
      <c r="B98" s="79" t="s">
        <v>616</v>
      </c>
      <c r="C98" s="79" t="s">
        <v>370</v>
      </c>
      <c r="D98" s="70" t="s">
        <v>617</v>
      </c>
      <c r="E98" s="94"/>
      <c r="F98" s="94"/>
      <c r="G98" s="94"/>
      <c r="H98" s="94"/>
      <c r="I98" s="94"/>
      <c r="J98" s="94">
        <f aca="true" t="shared" si="18" ref="J98:O98">J100+J102+J101</f>
        <v>7492868</v>
      </c>
      <c r="K98" s="94">
        <f t="shared" si="18"/>
        <v>7492868</v>
      </c>
      <c r="L98" s="94">
        <f t="shared" si="18"/>
        <v>0</v>
      </c>
      <c r="M98" s="94">
        <f t="shared" si="18"/>
        <v>0</v>
      </c>
      <c r="N98" s="94">
        <f t="shared" si="18"/>
        <v>0</v>
      </c>
      <c r="O98" s="94">
        <f t="shared" si="18"/>
        <v>7492868</v>
      </c>
      <c r="P98" s="93">
        <f t="shared" si="2"/>
        <v>7492868</v>
      </c>
    </row>
    <row r="99" spans="1:16" ht="120" hidden="1">
      <c r="A99" s="82" t="s">
        <v>581</v>
      </c>
      <c r="B99" s="82" t="s">
        <v>582</v>
      </c>
      <c r="C99" s="82" t="s">
        <v>371</v>
      </c>
      <c r="D99" s="67" t="s">
        <v>583</v>
      </c>
      <c r="E99" s="195"/>
      <c r="F99" s="195"/>
      <c r="G99" s="195"/>
      <c r="H99" s="195"/>
      <c r="I99" s="195"/>
      <c r="J99" s="195">
        <f t="shared" si="4"/>
        <v>0</v>
      </c>
      <c r="K99" s="195">
        <f>597771-597771</f>
        <v>0</v>
      </c>
      <c r="L99" s="195"/>
      <c r="M99" s="195"/>
      <c r="N99" s="195"/>
      <c r="O99" s="195">
        <f>K99</f>
        <v>0</v>
      </c>
      <c r="P99" s="196">
        <f t="shared" si="2"/>
        <v>0</v>
      </c>
    </row>
    <row r="100" spans="1:16" ht="24" hidden="1">
      <c r="A100" s="77" t="s">
        <v>615</v>
      </c>
      <c r="B100" s="77"/>
      <c r="C100" s="77"/>
      <c r="D100" s="57" t="s">
        <v>24</v>
      </c>
      <c r="E100" s="91"/>
      <c r="F100" s="91"/>
      <c r="G100" s="91"/>
      <c r="H100" s="91"/>
      <c r="I100" s="91"/>
      <c r="J100" s="91">
        <f>O100+L100</f>
        <v>7257227</v>
      </c>
      <c r="K100" s="91">
        <f>458596+3586541+251261+46683+2049486+40989+3313+60000-324323+380986+49185+49900+62848+45503+4229+373004+10096+49899+59031</f>
        <v>7257227</v>
      </c>
      <c r="L100" s="91"/>
      <c r="M100" s="91"/>
      <c r="N100" s="91"/>
      <c r="O100" s="91">
        <f>K100</f>
        <v>7257227</v>
      </c>
      <c r="P100" s="92">
        <f t="shared" si="2"/>
        <v>7257227</v>
      </c>
    </row>
    <row r="101" spans="1:16" ht="24" hidden="1">
      <c r="A101" s="80" t="s">
        <v>615</v>
      </c>
      <c r="B101" s="80"/>
      <c r="C101" s="80"/>
      <c r="D101" s="69" t="s">
        <v>231</v>
      </c>
      <c r="E101" s="97"/>
      <c r="F101" s="97"/>
      <c r="G101" s="97"/>
      <c r="H101" s="97"/>
      <c r="I101" s="97"/>
      <c r="J101" s="91">
        <f>O101+L101</f>
        <v>140000</v>
      </c>
      <c r="K101" s="97">
        <v>140000</v>
      </c>
      <c r="L101" s="97"/>
      <c r="M101" s="97"/>
      <c r="N101" s="97"/>
      <c r="O101" s="91">
        <f>K101</f>
        <v>140000</v>
      </c>
      <c r="P101" s="92">
        <f t="shared" si="2"/>
        <v>140000</v>
      </c>
    </row>
    <row r="102" spans="1:16" ht="144.75" hidden="1" thickBot="1">
      <c r="A102" s="79" t="s">
        <v>615</v>
      </c>
      <c r="B102" s="79"/>
      <c r="C102" s="79"/>
      <c r="D102" s="70" t="s">
        <v>25</v>
      </c>
      <c r="E102" s="94"/>
      <c r="F102" s="94"/>
      <c r="G102" s="94"/>
      <c r="H102" s="94"/>
      <c r="I102" s="94"/>
      <c r="J102" s="94">
        <f>O102+L102</f>
        <v>95641</v>
      </c>
      <c r="K102" s="94">
        <f>95641</f>
        <v>95641</v>
      </c>
      <c r="L102" s="94"/>
      <c r="M102" s="94"/>
      <c r="N102" s="94"/>
      <c r="O102" s="94">
        <f>K102</f>
        <v>95641</v>
      </c>
      <c r="P102" s="93">
        <f t="shared" si="2"/>
        <v>95641</v>
      </c>
    </row>
    <row r="103" spans="1:19" s="15" customFormat="1" ht="125.25" customHeight="1">
      <c r="A103" s="75" t="s">
        <v>433</v>
      </c>
      <c r="B103" s="75"/>
      <c r="C103" s="75"/>
      <c r="D103" s="54" t="s">
        <v>434</v>
      </c>
      <c r="E103" s="95">
        <f aca="true" t="shared" si="19" ref="E103:N103">E104</f>
        <v>23409400</v>
      </c>
      <c r="F103" s="95">
        <f t="shared" si="19"/>
        <v>23409400</v>
      </c>
      <c r="G103" s="95">
        <f t="shared" si="19"/>
        <v>17214297</v>
      </c>
      <c r="H103" s="95">
        <f t="shared" si="19"/>
        <v>702350</v>
      </c>
      <c r="I103" s="95">
        <f t="shared" si="19"/>
        <v>0</v>
      </c>
      <c r="J103" s="95">
        <f t="shared" si="19"/>
        <v>117304</v>
      </c>
      <c r="K103" s="95">
        <f t="shared" si="19"/>
        <v>57904</v>
      </c>
      <c r="L103" s="95">
        <f t="shared" si="19"/>
        <v>59400</v>
      </c>
      <c r="M103" s="95">
        <f t="shared" si="19"/>
        <v>0</v>
      </c>
      <c r="N103" s="95">
        <f t="shared" si="19"/>
        <v>6588</v>
      </c>
      <c r="O103" s="95">
        <f t="shared" si="5"/>
        <v>57904</v>
      </c>
      <c r="P103" s="89">
        <f t="shared" si="2"/>
        <v>23526704</v>
      </c>
      <c r="R103" s="290"/>
      <c r="S103" s="290"/>
    </row>
    <row r="104" spans="1:16" s="15" customFormat="1" ht="128.25" customHeight="1">
      <c r="A104" s="76" t="s">
        <v>435</v>
      </c>
      <c r="B104" s="76"/>
      <c r="C104" s="76"/>
      <c r="D104" s="55" t="s">
        <v>434</v>
      </c>
      <c r="E104" s="99">
        <f aca="true" t="shared" si="20" ref="E104:N104">SUM(E105:E124)</f>
        <v>23409400</v>
      </c>
      <c r="F104" s="99">
        <f t="shared" si="20"/>
        <v>23409400</v>
      </c>
      <c r="G104" s="99">
        <f t="shared" si="20"/>
        <v>17214297</v>
      </c>
      <c r="H104" s="99">
        <f t="shared" si="20"/>
        <v>702350</v>
      </c>
      <c r="I104" s="190">
        <f t="shared" si="20"/>
        <v>0</v>
      </c>
      <c r="J104" s="99">
        <f t="shared" si="20"/>
        <v>117304</v>
      </c>
      <c r="K104" s="99">
        <f t="shared" si="20"/>
        <v>57904</v>
      </c>
      <c r="L104" s="99">
        <f t="shared" si="20"/>
        <v>59400</v>
      </c>
      <c r="M104" s="99">
        <f t="shared" si="20"/>
        <v>0</v>
      </c>
      <c r="N104" s="99">
        <f t="shared" si="20"/>
        <v>6588</v>
      </c>
      <c r="O104" s="99">
        <f t="shared" si="5"/>
        <v>57904</v>
      </c>
      <c r="P104" s="90">
        <f t="shared" si="2"/>
        <v>23526704</v>
      </c>
    </row>
    <row r="105" spans="1:16" ht="120">
      <c r="A105" s="77" t="s">
        <v>436</v>
      </c>
      <c r="B105" s="77" t="s">
        <v>401</v>
      </c>
      <c r="C105" s="77" t="s">
        <v>306</v>
      </c>
      <c r="D105" s="57" t="s">
        <v>402</v>
      </c>
      <c r="E105" s="91">
        <f aca="true" t="shared" si="21" ref="E105:E124">F105</f>
        <v>10956569</v>
      </c>
      <c r="F105" s="91">
        <f>10545242-4977+425035-8731</f>
        <v>10956569</v>
      </c>
      <c r="G105" s="91">
        <f>10090886+425035</f>
        <v>10515921</v>
      </c>
      <c r="H105" s="91">
        <f>248614-4977-8731</f>
        <v>234906</v>
      </c>
      <c r="I105" s="91"/>
      <c r="J105" s="91">
        <f t="shared" si="4"/>
        <v>0</v>
      </c>
      <c r="K105" s="91"/>
      <c r="L105" s="91"/>
      <c r="M105" s="91"/>
      <c r="N105" s="91"/>
      <c r="O105" s="91">
        <f t="shared" si="5"/>
        <v>0</v>
      </c>
      <c r="P105" s="92">
        <f t="shared" si="2"/>
        <v>10956569</v>
      </c>
    </row>
    <row r="106" spans="1:16" ht="96">
      <c r="A106" s="77" t="s">
        <v>545</v>
      </c>
      <c r="B106" s="77" t="s">
        <v>546</v>
      </c>
      <c r="C106" s="81" t="s">
        <v>340</v>
      </c>
      <c r="D106" s="56" t="s">
        <v>547</v>
      </c>
      <c r="E106" s="91">
        <f t="shared" si="21"/>
        <v>22260</v>
      </c>
      <c r="F106" s="91">
        <v>22260</v>
      </c>
      <c r="G106" s="91"/>
      <c r="H106" s="91"/>
      <c r="I106" s="91"/>
      <c r="J106" s="91">
        <f t="shared" si="4"/>
        <v>0</v>
      </c>
      <c r="K106" s="91"/>
      <c r="L106" s="91"/>
      <c r="M106" s="91"/>
      <c r="N106" s="91"/>
      <c r="O106" s="91">
        <f t="shared" si="5"/>
        <v>0</v>
      </c>
      <c r="P106" s="92">
        <f t="shared" si="2"/>
        <v>22260</v>
      </c>
    </row>
    <row r="107" spans="1:16" ht="72">
      <c r="A107" s="77" t="s">
        <v>548</v>
      </c>
      <c r="B107" s="77" t="s">
        <v>549</v>
      </c>
      <c r="C107" s="81" t="s">
        <v>550</v>
      </c>
      <c r="D107" s="56" t="s">
        <v>551</v>
      </c>
      <c r="E107" s="91">
        <f t="shared" si="21"/>
        <v>122309</v>
      </c>
      <c r="F107" s="91">
        <f>155360-33051</f>
        <v>122309</v>
      </c>
      <c r="G107" s="91"/>
      <c r="H107" s="91"/>
      <c r="I107" s="91"/>
      <c r="J107" s="91">
        <f t="shared" si="4"/>
        <v>0</v>
      </c>
      <c r="K107" s="91"/>
      <c r="L107" s="91"/>
      <c r="M107" s="91"/>
      <c r="N107" s="91"/>
      <c r="O107" s="91">
        <f t="shared" si="5"/>
        <v>0</v>
      </c>
      <c r="P107" s="92">
        <f t="shared" si="2"/>
        <v>122309</v>
      </c>
    </row>
    <row r="108" spans="1:16" ht="120">
      <c r="A108" s="77" t="s">
        <v>552</v>
      </c>
      <c r="B108" s="77" t="s">
        <v>553</v>
      </c>
      <c r="C108" s="81" t="s">
        <v>550</v>
      </c>
      <c r="D108" s="56" t="s">
        <v>554</v>
      </c>
      <c r="E108" s="91">
        <f t="shared" si="21"/>
        <v>2189367</v>
      </c>
      <c r="F108" s="91">
        <f>2800000-450000-160633</f>
        <v>2189367</v>
      </c>
      <c r="G108" s="91"/>
      <c r="H108" s="91"/>
      <c r="I108" s="91"/>
      <c r="J108" s="91">
        <f t="shared" si="4"/>
        <v>0</v>
      </c>
      <c r="K108" s="91"/>
      <c r="L108" s="91"/>
      <c r="M108" s="91"/>
      <c r="N108" s="91"/>
      <c r="O108" s="91">
        <f t="shared" si="5"/>
        <v>0</v>
      </c>
      <c r="P108" s="92">
        <f t="shared" si="2"/>
        <v>2189367</v>
      </c>
    </row>
    <row r="109" spans="1:16" ht="96">
      <c r="A109" s="80" t="s">
        <v>555</v>
      </c>
      <c r="B109" s="80" t="s">
        <v>556</v>
      </c>
      <c r="C109" s="80" t="s">
        <v>550</v>
      </c>
      <c r="D109" s="71" t="s">
        <v>557</v>
      </c>
      <c r="E109" s="91">
        <f t="shared" si="21"/>
        <v>97607</v>
      </c>
      <c r="F109" s="91">
        <f>153000-55393</f>
        <v>97607</v>
      </c>
      <c r="G109" s="91"/>
      <c r="H109" s="91"/>
      <c r="I109" s="91"/>
      <c r="J109" s="91">
        <f t="shared" si="4"/>
        <v>0</v>
      </c>
      <c r="K109" s="91"/>
      <c r="L109" s="91"/>
      <c r="M109" s="91"/>
      <c r="N109" s="91"/>
      <c r="O109" s="91">
        <f t="shared" si="5"/>
        <v>0</v>
      </c>
      <c r="P109" s="92">
        <f t="shared" si="2"/>
        <v>97607</v>
      </c>
    </row>
    <row r="110" spans="1:16" ht="96">
      <c r="A110" s="77" t="s">
        <v>598</v>
      </c>
      <c r="B110" s="77" t="s">
        <v>599</v>
      </c>
      <c r="C110" s="77" t="s">
        <v>550</v>
      </c>
      <c r="D110" s="57" t="s">
        <v>600</v>
      </c>
      <c r="E110" s="91">
        <f t="shared" si="21"/>
        <v>81050</v>
      </c>
      <c r="F110" s="91">
        <v>81050</v>
      </c>
      <c r="G110" s="91"/>
      <c r="H110" s="91"/>
      <c r="I110" s="91"/>
      <c r="J110" s="91"/>
      <c r="K110" s="91"/>
      <c r="L110" s="91"/>
      <c r="M110" s="91"/>
      <c r="N110" s="91"/>
      <c r="O110" s="91"/>
      <c r="P110" s="92">
        <f t="shared" si="2"/>
        <v>81050</v>
      </c>
    </row>
    <row r="111" spans="1:16" ht="96">
      <c r="A111" s="77" t="s">
        <v>601</v>
      </c>
      <c r="B111" s="77" t="s">
        <v>602</v>
      </c>
      <c r="C111" s="77" t="s">
        <v>340</v>
      </c>
      <c r="D111" s="57" t="s">
        <v>603</v>
      </c>
      <c r="E111" s="91">
        <f t="shared" si="21"/>
        <v>65950</v>
      </c>
      <c r="F111" s="91">
        <v>65950</v>
      </c>
      <c r="G111" s="91"/>
      <c r="H111" s="91"/>
      <c r="I111" s="91"/>
      <c r="J111" s="91"/>
      <c r="K111" s="91"/>
      <c r="L111" s="91"/>
      <c r="M111" s="91"/>
      <c r="N111" s="91"/>
      <c r="O111" s="91"/>
      <c r="P111" s="92">
        <f>E111+J111</f>
        <v>65950</v>
      </c>
    </row>
    <row r="112" spans="1:16" ht="168">
      <c r="A112" s="77" t="s">
        <v>437</v>
      </c>
      <c r="B112" s="77" t="s">
        <v>438</v>
      </c>
      <c r="C112" s="77" t="s">
        <v>408</v>
      </c>
      <c r="D112" s="57" t="s">
        <v>439</v>
      </c>
      <c r="E112" s="91">
        <f t="shared" si="21"/>
        <v>4953471</v>
      </c>
      <c r="F112" s="91">
        <f>4383186+7112+2983+49962+49909+365500+69392+25427</f>
        <v>4953471</v>
      </c>
      <c r="G112" s="91">
        <f>4147907+69392+365500+25427</f>
        <v>4608226</v>
      </c>
      <c r="H112" s="91">
        <v>230279</v>
      </c>
      <c r="I112" s="91"/>
      <c r="J112" s="91">
        <f t="shared" si="4"/>
        <v>59400</v>
      </c>
      <c r="K112" s="91"/>
      <c r="L112" s="91">
        <v>59400</v>
      </c>
      <c r="M112" s="91"/>
      <c r="N112" s="91">
        <v>6588</v>
      </c>
      <c r="O112" s="91">
        <f t="shared" si="5"/>
        <v>0</v>
      </c>
      <c r="P112" s="92">
        <f aca="true" t="shared" si="22" ref="P112:P189">E112+J112</f>
        <v>5012871</v>
      </c>
    </row>
    <row r="113" spans="1:16" ht="96">
      <c r="A113" s="77" t="s">
        <v>440</v>
      </c>
      <c r="B113" s="77" t="s">
        <v>441</v>
      </c>
      <c r="C113" s="77" t="s">
        <v>404</v>
      </c>
      <c r="D113" s="57" t="s">
        <v>442</v>
      </c>
      <c r="E113" s="91">
        <f t="shared" si="21"/>
        <v>1810569</v>
      </c>
      <c r="F113" s="91">
        <f>1855735+1530-44974-1722</f>
        <v>1810569</v>
      </c>
      <c r="G113" s="91">
        <v>1519206</v>
      </c>
      <c r="H113" s="91">
        <v>210332</v>
      </c>
      <c r="I113" s="91"/>
      <c r="J113" s="91">
        <f t="shared" si="4"/>
        <v>0</v>
      </c>
      <c r="K113" s="91"/>
      <c r="L113" s="91"/>
      <c r="M113" s="91"/>
      <c r="N113" s="91"/>
      <c r="O113" s="91">
        <f t="shared" si="5"/>
        <v>0</v>
      </c>
      <c r="P113" s="92">
        <f t="shared" si="22"/>
        <v>1810569</v>
      </c>
    </row>
    <row r="114" spans="1:16" ht="96">
      <c r="A114" s="77" t="s">
        <v>443</v>
      </c>
      <c r="B114" s="77" t="s">
        <v>444</v>
      </c>
      <c r="C114" s="77" t="s">
        <v>336</v>
      </c>
      <c r="D114" s="57" t="s">
        <v>445</v>
      </c>
      <c r="E114" s="91">
        <f t="shared" si="21"/>
        <v>637299</v>
      </c>
      <c r="F114" s="91">
        <f>605597+15045+16657</f>
        <v>637299</v>
      </c>
      <c r="G114" s="91">
        <v>559424</v>
      </c>
      <c r="H114" s="91">
        <v>26833</v>
      </c>
      <c r="I114" s="91"/>
      <c r="J114" s="91">
        <f aca="true" t="shared" si="23" ref="J114:J187">L114+O114</f>
        <v>0</v>
      </c>
      <c r="K114" s="91"/>
      <c r="L114" s="91"/>
      <c r="M114" s="91"/>
      <c r="N114" s="91"/>
      <c r="O114" s="91">
        <f aca="true" t="shared" si="24" ref="O114:O187">K114</f>
        <v>0</v>
      </c>
      <c r="P114" s="92">
        <f t="shared" si="22"/>
        <v>637299</v>
      </c>
    </row>
    <row r="115" spans="1:16" ht="48">
      <c r="A115" s="77" t="s">
        <v>446</v>
      </c>
      <c r="B115" s="77" t="s">
        <v>447</v>
      </c>
      <c r="C115" s="77" t="s">
        <v>336</v>
      </c>
      <c r="D115" s="57" t="s">
        <v>448</v>
      </c>
      <c r="E115" s="91">
        <f t="shared" si="21"/>
        <v>5000</v>
      </c>
      <c r="F115" s="91">
        <v>5000</v>
      </c>
      <c r="G115" s="91"/>
      <c r="H115" s="91"/>
      <c r="I115" s="91"/>
      <c r="J115" s="91">
        <f t="shared" si="23"/>
        <v>0</v>
      </c>
      <c r="K115" s="91"/>
      <c r="L115" s="91"/>
      <c r="M115" s="91"/>
      <c r="N115" s="91"/>
      <c r="O115" s="91">
        <f t="shared" si="24"/>
        <v>0</v>
      </c>
      <c r="P115" s="92">
        <f t="shared" si="22"/>
        <v>5000</v>
      </c>
    </row>
    <row r="116" spans="1:16" ht="264">
      <c r="A116" s="77" t="s">
        <v>558</v>
      </c>
      <c r="B116" s="77" t="s">
        <v>559</v>
      </c>
      <c r="C116" s="77" t="s">
        <v>404</v>
      </c>
      <c r="D116" s="57" t="s">
        <v>560</v>
      </c>
      <c r="E116" s="91">
        <f t="shared" si="21"/>
        <v>490619</v>
      </c>
      <c r="F116" s="91">
        <f>606834-55554-60661</f>
        <v>490619</v>
      </c>
      <c r="G116" s="91"/>
      <c r="H116" s="91"/>
      <c r="I116" s="91"/>
      <c r="J116" s="91">
        <f t="shared" si="23"/>
        <v>0</v>
      </c>
      <c r="K116" s="91"/>
      <c r="L116" s="91"/>
      <c r="M116" s="91"/>
      <c r="N116" s="91"/>
      <c r="O116" s="91">
        <f t="shared" si="24"/>
        <v>0</v>
      </c>
      <c r="P116" s="92">
        <f t="shared" si="22"/>
        <v>490619</v>
      </c>
    </row>
    <row r="117" spans="1:16" ht="216">
      <c r="A117" s="82" t="s">
        <v>561</v>
      </c>
      <c r="B117" s="82" t="s">
        <v>562</v>
      </c>
      <c r="C117" s="82" t="s">
        <v>563</v>
      </c>
      <c r="D117" s="61" t="s">
        <v>564</v>
      </c>
      <c r="E117" s="91">
        <f t="shared" si="21"/>
        <v>310827</v>
      </c>
      <c r="F117" s="91">
        <f>310166+661</f>
        <v>310827</v>
      </c>
      <c r="G117" s="91"/>
      <c r="H117" s="91"/>
      <c r="I117" s="91"/>
      <c r="J117" s="91">
        <f t="shared" si="23"/>
        <v>0</v>
      </c>
      <c r="K117" s="91"/>
      <c r="L117" s="91"/>
      <c r="M117" s="91"/>
      <c r="N117" s="91"/>
      <c r="O117" s="91">
        <f t="shared" si="24"/>
        <v>0</v>
      </c>
      <c r="P117" s="92">
        <f t="shared" si="22"/>
        <v>310827</v>
      </c>
    </row>
    <row r="118" spans="1:16" ht="72">
      <c r="A118" s="77" t="s">
        <v>565</v>
      </c>
      <c r="B118" s="77" t="s">
        <v>339</v>
      </c>
      <c r="C118" s="77" t="s">
        <v>340</v>
      </c>
      <c r="D118" s="57" t="s">
        <v>341</v>
      </c>
      <c r="E118" s="91">
        <f t="shared" si="21"/>
        <v>251878</v>
      </c>
      <c r="F118" s="91">
        <f>253324+50000-51446</f>
        <v>251878</v>
      </c>
      <c r="G118" s="91"/>
      <c r="H118" s="91"/>
      <c r="I118" s="91"/>
      <c r="J118" s="91">
        <f t="shared" si="23"/>
        <v>0</v>
      </c>
      <c r="K118" s="91"/>
      <c r="L118" s="91"/>
      <c r="M118" s="91"/>
      <c r="N118" s="91"/>
      <c r="O118" s="91">
        <f t="shared" si="24"/>
        <v>0</v>
      </c>
      <c r="P118" s="92">
        <f t="shared" si="22"/>
        <v>251878</v>
      </c>
    </row>
    <row r="119" spans="1:16" ht="144">
      <c r="A119" s="77" t="s">
        <v>566</v>
      </c>
      <c r="B119" s="77" t="s">
        <v>567</v>
      </c>
      <c r="C119" s="77" t="s">
        <v>340</v>
      </c>
      <c r="D119" s="57" t="s">
        <v>568</v>
      </c>
      <c r="E119" s="91">
        <f t="shared" si="21"/>
        <v>497450</v>
      </c>
      <c r="F119" s="91">
        <f>300000+100000+13958+63420+20072</f>
        <v>497450</v>
      </c>
      <c r="G119" s="91"/>
      <c r="H119" s="91"/>
      <c r="I119" s="91"/>
      <c r="J119" s="91">
        <f t="shared" si="23"/>
        <v>0</v>
      </c>
      <c r="K119" s="91"/>
      <c r="L119" s="91"/>
      <c r="M119" s="91"/>
      <c r="N119" s="91"/>
      <c r="O119" s="91">
        <f t="shared" si="24"/>
        <v>0</v>
      </c>
      <c r="P119" s="92">
        <f t="shared" si="22"/>
        <v>497450</v>
      </c>
    </row>
    <row r="120" spans="1:16" ht="48">
      <c r="A120" s="80" t="s">
        <v>661</v>
      </c>
      <c r="B120" s="80" t="s">
        <v>638</v>
      </c>
      <c r="C120" s="80" t="s">
        <v>639</v>
      </c>
      <c r="D120" s="69" t="s">
        <v>640</v>
      </c>
      <c r="E120" s="91">
        <f t="shared" si="21"/>
        <v>11520</v>
      </c>
      <c r="F120" s="91">
        <v>11520</v>
      </c>
      <c r="G120" s="91">
        <v>11520</v>
      </c>
      <c r="H120" s="91"/>
      <c r="I120" s="91"/>
      <c r="J120" s="91"/>
      <c r="K120" s="91"/>
      <c r="L120" s="91"/>
      <c r="M120" s="91"/>
      <c r="N120" s="91"/>
      <c r="O120" s="91"/>
      <c r="P120" s="92">
        <f t="shared" si="22"/>
        <v>11520</v>
      </c>
    </row>
    <row r="121" spans="1:16" ht="72">
      <c r="A121" s="80" t="s">
        <v>569</v>
      </c>
      <c r="B121" s="80" t="s">
        <v>343</v>
      </c>
      <c r="C121" s="80" t="s">
        <v>344</v>
      </c>
      <c r="D121" s="69" t="s">
        <v>345</v>
      </c>
      <c r="E121" s="91">
        <f t="shared" si="21"/>
        <v>879380</v>
      </c>
      <c r="F121" s="91">
        <f>789380+60000+30000</f>
        <v>879380</v>
      </c>
      <c r="G121" s="91"/>
      <c r="H121" s="91"/>
      <c r="I121" s="91"/>
      <c r="J121" s="91">
        <f t="shared" si="23"/>
        <v>0</v>
      </c>
      <c r="K121" s="91"/>
      <c r="L121" s="91"/>
      <c r="M121" s="91"/>
      <c r="N121" s="91"/>
      <c r="O121" s="91">
        <f t="shared" si="24"/>
        <v>0</v>
      </c>
      <c r="P121" s="92">
        <f t="shared" si="22"/>
        <v>879380</v>
      </c>
    </row>
    <row r="122" spans="1:16" ht="48">
      <c r="A122" s="80" t="s">
        <v>248</v>
      </c>
      <c r="B122" s="80" t="s">
        <v>249</v>
      </c>
      <c r="C122" s="80" t="s">
        <v>370</v>
      </c>
      <c r="D122" s="69" t="s">
        <v>250</v>
      </c>
      <c r="E122" s="91">
        <f t="shared" si="21"/>
        <v>0</v>
      </c>
      <c r="F122" s="97"/>
      <c r="G122" s="97"/>
      <c r="H122" s="97"/>
      <c r="I122" s="97"/>
      <c r="J122" s="91">
        <f t="shared" si="23"/>
        <v>6444</v>
      </c>
      <c r="K122" s="97">
        <v>6444</v>
      </c>
      <c r="L122" s="97"/>
      <c r="M122" s="97"/>
      <c r="N122" s="97"/>
      <c r="O122" s="91">
        <f t="shared" si="24"/>
        <v>6444</v>
      </c>
      <c r="P122" s="92">
        <f t="shared" si="22"/>
        <v>6444</v>
      </c>
    </row>
    <row r="123" spans="1:16" ht="48">
      <c r="A123" s="80" t="s">
        <v>660</v>
      </c>
      <c r="B123" s="80" t="s">
        <v>527</v>
      </c>
      <c r="C123" s="80" t="s">
        <v>370</v>
      </c>
      <c r="D123" s="69" t="s">
        <v>609</v>
      </c>
      <c r="E123" s="97"/>
      <c r="F123" s="97"/>
      <c r="G123" s="97"/>
      <c r="H123" s="97"/>
      <c r="I123" s="97"/>
      <c r="J123" s="91">
        <f t="shared" si="23"/>
        <v>51460</v>
      </c>
      <c r="K123" s="97">
        <f>51460</f>
        <v>51460</v>
      </c>
      <c r="L123" s="97"/>
      <c r="M123" s="97"/>
      <c r="N123" s="97"/>
      <c r="O123" s="91">
        <f t="shared" si="24"/>
        <v>51460</v>
      </c>
      <c r="P123" s="92">
        <f t="shared" si="22"/>
        <v>51460</v>
      </c>
    </row>
    <row r="124" spans="1:16" ht="48.75" thickBot="1">
      <c r="A124" s="79" t="s">
        <v>570</v>
      </c>
      <c r="B124" s="79" t="s">
        <v>380</v>
      </c>
      <c r="C124" s="79" t="s">
        <v>371</v>
      </c>
      <c r="D124" s="70" t="s">
        <v>381</v>
      </c>
      <c r="E124" s="94">
        <f t="shared" si="21"/>
        <v>26275</v>
      </c>
      <c r="F124" s="94">
        <f>35698-9423</f>
        <v>26275</v>
      </c>
      <c r="G124" s="94"/>
      <c r="H124" s="94"/>
      <c r="I124" s="94"/>
      <c r="J124" s="94">
        <f t="shared" si="23"/>
        <v>0</v>
      </c>
      <c r="K124" s="94"/>
      <c r="L124" s="94"/>
      <c r="M124" s="94"/>
      <c r="N124" s="94"/>
      <c r="O124" s="94">
        <f t="shared" si="24"/>
        <v>0</v>
      </c>
      <c r="P124" s="93">
        <f t="shared" si="22"/>
        <v>26275</v>
      </c>
    </row>
    <row r="125" spans="1:16" s="15" customFormat="1" ht="69.75">
      <c r="A125" s="75" t="s">
        <v>449</v>
      </c>
      <c r="B125" s="75"/>
      <c r="C125" s="75"/>
      <c r="D125" s="54" t="s">
        <v>450</v>
      </c>
      <c r="E125" s="95">
        <f>E126</f>
        <v>33513070</v>
      </c>
      <c r="F125" s="95">
        <f aca="true" t="shared" si="25" ref="F125:N125">F126</f>
        <v>33513070</v>
      </c>
      <c r="G125" s="95">
        <f t="shared" si="25"/>
        <v>27732368</v>
      </c>
      <c r="H125" s="95">
        <f t="shared" si="25"/>
        <v>3457042</v>
      </c>
      <c r="I125" s="95">
        <f t="shared" si="25"/>
        <v>0</v>
      </c>
      <c r="J125" s="95">
        <f t="shared" si="25"/>
        <v>4126080</v>
      </c>
      <c r="K125" s="95">
        <f t="shared" si="25"/>
        <v>3018735</v>
      </c>
      <c r="L125" s="95">
        <f t="shared" si="25"/>
        <v>1107345</v>
      </c>
      <c r="M125" s="95">
        <f t="shared" si="25"/>
        <v>916905</v>
      </c>
      <c r="N125" s="95">
        <f t="shared" si="25"/>
        <v>18741</v>
      </c>
      <c r="O125" s="95">
        <f t="shared" si="24"/>
        <v>3018735</v>
      </c>
      <c r="P125" s="89">
        <f t="shared" si="22"/>
        <v>37639150</v>
      </c>
    </row>
    <row r="126" spans="1:16" s="15" customFormat="1" ht="69.75">
      <c r="A126" s="75" t="s">
        <v>451</v>
      </c>
      <c r="B126" s="75"/>
      <c r="C126" s="75"/>
      <c r="D126" s="54" t="s">
        <v>450</v>
      </c>
      <c r="E126" s="99">
        <f>SUM(E127:E136)</f>
        <v>33513070</v>
      </c>
      <c r="F126" s="99">
        <f aca="true" t="shared" si="26" ref="F126:N126">SUM(F127:F136)</f>
        <v>33513070</v>
      </c>
      <c r="G126" s="99">
        <f t="shared" si="26"/>
        <v>27732368</v>
      </c>
      <c r="H126" s="99">
        <f t="shared" si="26"/>
        <v>3457042</v>
      </c>
      <c r="I126" s="99">
        <f t="shared" si="26"/>
        <v>0</v>
      </c>
      <c r="J126" s="99">
        <f t="shared" si="26"/>
        <v>4126080</v>
      </c>
      <c r="K126" s="99">
        <f t="shared" si="26"/>
        <v>3018735</v>
      </c>
      <c r="L126" s="99">
        <f t="shared" si="26"/>
        <v>1107345</v>
      </c>
      <c r="M126" s="99">
        <f t="shared" si="26"/>
        <v>916905</v>
      </c>
      <c r="N126" s="99">
        <f t="shared" si="26"/>
        <v>18741</v>
      </c>
      <c r="O126" s="99">
        <f t="shared" si="24"/>
        <v>3018735</v>
      </c>
      <c r="P126" s="90">
        <f t="shared" si="22"/>
        <v>37639150</v>
      </c>
    </row>
    <row r="127" spans="1:16" ht="120">
      <c r="A127" s="77" t="s">
        <v>452</v>
      </c>
      <c r="B127" s="77" t="s">
        <v>401</v>
      </c>
      <c r="C127" s="77" t="s">
        <v>306</v>
      </c>
      <c r="D127" s="57" t="s">
        <v>402</v>
      </c>
      <c r="E127" s="91">
        <f>F127</f>
        <v>859364</v>
      </c>
      <c r="F127" s="91">
        <f>820650+38714</f>
        <v>859364</v>
      </c>
      <c r="G127" s="91">
        <f>784745+38714</f>
        <v>823459</v>
      </c>
      <c r="H127" s="91">
        <v>17505</v>
      </c>
      <c r="I127" s="91"/>
      <c r="J127" s="91">
        <f t="shared" si="23"/>
        <v>0</v>
      </c>
      <c r="K127" s="91"/>
      <c r="L127" s="91"/>
      <c r="M127" s="91"/>
      <c r="N127" s="91"/>
      <c r="O127" s="91">
        <f t="shared" si="24"/>
        <v>0</v>
      </c>
      <c r="P127" s="92">
        <f t="shared" si="22"/>
        <v>859364</v>
      </c>
    </row>
    <row r="128" spans="1:16" ht="48">
      <c r="A128" s="77" t="s">
        <v>453</v>
      </c>
      <c r="B128" s="77" t="s">
        <v>454</v>
      </c>
      <c r="C128" s="77" t="s">
        <v>416</v>
      </c>
      <c r="D128" s="57" t="s">
        <v>614</v>
      </c>
      <c r="E128" s="91">
        <f>F128</f>
        <v>15165723</v>
      </c>
      <c r="F128" s="91">
        <f>15295783-52260+12586-90386+16681-16681</f>
        <v>15165723</v>
      </c>
      <c r="G128" s="91">
        <f>13634760-90386</f>
        <v>13544374</v>
      </c>
      <c r="H128" s="91">
        <f>1521252+70866-52260-16681</f>
        <v>1523177</v>
      </c>
      <c r="I128" s="91"/>
      <c r="J128" s="91">
        <f t="shared" si="23"/>
        <v>924685</v>
      </c>
      <c r="K128" s="91"/>
      <c r="L128" s="91">
        <v>924685</v>
      </c>
      <c r="M128" s="91">
        <v>898605</v>
      </c>
      <c r="N128" s="91">
        <v>5851</v>
      </c>
      <c r="O128" s="91">
        <f t="shared" si="24"/>
        <v>0</v>
      </c>
      <c r="P128" s="92">
        <f t="shared" si="22"/>
        <v>16090408</v>
      </c>
    </row>
    <row r="129" spans="1:16" ht="48">
      <c r="A129" s="77" t="s">
        <v>455</v>
      </c>
      <c r="B129" s="77" t="s">
        <v>456</v>
      </c>
      <c r="C129" s="77" t="s">
        <v>457</v>
      </c>
      <c r="D129" s="57" t="s">
        <v>458</v>
      </c>
      <c r="E129" s="91">
        <f aca="true" t="shared" si="27" ref="E129:E136">F129</f>
        <v>4823797</v>
      </c>
      <c r="F129" s="91">
        <f>4687744-29863+114843-40000+687+90386</f>
        <v>4823797</v>
      </c>
      <c r="G129" s="91">
        <f>4067055+118170-9969+94288+90386</f>
        <v>4359930</v>
      </c>
      <c r="H129" s="91">
        <f>283262+29236-29863+11835</f>
        <v>294470</v>
      </c>
      <c r="I129" s="91"/>
      <c r="J129" s="91">
        <f t="shared" si="23"/>
        <v>48160</v>
      </c>
      <c r="K129" s="91">
        <f>40000</f>
        <v>40000</v>
      </c>
      <c r="L129" s="91">
        <v>8160</v>
      </c>
      <c r="M129" s="91"/>
      <c r="N129" s="91">
        <v>1370</v>
      </c>
      <c r="O129" s="91">
        <f t="shared" si="24"/>
        <v>40000</v>
      </c>
      <c r="P129" s="92">
        <f t="shared" si="22"/>
        <v>4871957</v>
      </c>
    </row>
    <row r="130" spans="1:16" ht="48">
      <c r="A130" s="77" t="s">
        <v>459</v>
      </c>
      <c r="B130" s="77" t="s">
        <v>460</v>
      </c>
      <c r="C130" s="77" t="s">
        <v>457</v>
      </c>
      <c r="D130" s="57" t="s">
        <v>461</v>
      </c>
      <c r="E130" s="91">
        <f t="shared" si="27"/>
        <v>1331910</v>
      </c>
      <c r="F130" s="91">
        <f>1259549-2738+22561+3440+22739+26359</f>
        <v>1331910</v>
      </c>
      <c r="G130" s="91">
        <f>738354+141385</f>
        <v>879739</v>
      </c>
      <c r="H130" s="91">
        <f>320686-2738</f>
        <v>317948</v>
      </c>
      <c r="I130" s="91"/>
      <c r="J130" s="91">
        <f t="shared" si="23"/>
        <v>14500</v>
      </c>
      <c r="K130" s="91"/>
      <c r="L130" s="91">
        <v>14500</v>
      </c>
      <c r="M130" s="91"/>
      <c r="N130" s="91"/>
      <c r="O130" s="91">
        <f t="shared" si="24"/>
        <v>0</v>
      </c>
      <c r="P130" s="92">
        <f t="shared" si="22"/>
        <v>1346410</v>
      </c>
    </row>
    <row r="131" spans="1:16" ht="134.25" customHeight="1">
      <c r="A131" s="77" t="s">
        <v>462</v>
      </c>
      <c r="B131" s="77" t="s">
        <v>463</v>
      </c>
      <c r="C131" s="77" t="s">
        <v>464</v>
      </c>
      <c r="D131" s="56" t="s">
        <v>465</v>
      </c>
      <c r="E131" s="91">
        <f t="shared" si="27"/>
        <v>8958330</v>
      </c>
      <c r="F131" s="91">
        <f>8222947-11199+682826+19422+33156+46596-87818+46700+49600+28463-72363</f>
        <v>8958330</v>
      </c>
      <c r="G131" s="91">
        <f>6755061+423754</f>
        <v>7178815</v>
      </c>
      <c r="H131" s="91">
        <f>1180634+4828+13025+15467-11199+234527-87818-72363</f>
        <v>1277101</v>
      </c>
      <c r="I131" s="91"/>
      <c r="J131" s="91">
        <f t="shared" si="23"/>
        <v>1027200</v>
      </c>
      <c r="K131" s="91">
        <f>845082+30600-8482</f>
        <v>867200</v>
      </c>
      <c r="L131" s="91">
        <v>160000</v>
      </c>
      <c r="M131" s="91">
        <v>18300</v>
      </c>
      <c r="N131" s="91">
        <v>11520</v>
      </c>
      <c r="O131" s="91">
        <f t="shared" si="24"/>
        <v>867200</v>
      </c>
      <c r="P131" s="92">
        <f t="shared" si="22"/>
        <v>9985530</v>
      </c>
    </row>
    <row r="132" spans="1:16" ht="72">
      <c r="A132" s="82" t="s">
        <v>466</v>
      </c>
      <c r="B132" s="82" t="s">
        <v>467</v>
      </c>
      <c r="C132" s="77" t="s">
        <v>468</v>
      </c>
      <c r="D132" s="67" t="s">
        <v>469</v>
      </c>
      <c r="E132" s="91">
        <f t="shared" si="27"/>
        <v>970918</v>
      </c>
      <c r="F132" s="91">
        <f>970918</f>
        <v>970918</v>
      </c>
      <c r="G132" s="91">
        <v>914514</v>
      </c>
      <c r="H132" s="91">
        <v>26841</v>
      </c>
      <c r="I132" s="91"/>
      <c r="J132" s="91">
        <f t="shared" si="23"/>
        <v>0</v>
      </c>
      <c r="K132" s="91"/>
      <c r="L132" s="91"/>
      <c r="M132" s="91"/>
      <c r="N132" s="91"/>
      <c r="O132" s="91">
        <f t="shared" si="24"/>
        <v>0</v>
      </c>
      <c r="P132" s="92">
        <f t="shared" si="22"/>
        <v>970918</v>
      </c>
    </row>
    <row r="133" spans="1:16" ht="48">
      <c r="A133" s="77" t="s">
        <v>470</v>
      </c>
      <c r="B133" s="77" t="s">
        <v>471</v>
      </c>
      <c r="C133" s="83" t="s">
        <v>468</v>
      </c>
      <c r="D133" s="57" t="s">
        <v>472</v>
      </c>
      <c r="E133" s="91">
        <f t="shared" si="27"/>
        <v>1323028</v>
      </c>
      <c r="F133" s="91">
        <f>1250850+47245-49869-49098+107900+16000</f>
        <v>1323028</v>
      </c>
      <c r="G133" s="91">
        <f>43615-12078</f>
        <v>31537</v>
      </c>
      <c r="H133" s="91"/>
      <c r="I133" s="91"/>
      <c r="J133" s="91">
        <f t="shared" si="23"/>
        <v>0</v>
      </c>
      <c r="K133" s="91"/>
      <c r="L133" s="91"/>
      <c r="M133" s="91"/>
      <c r="N133" s="91"/>
      <c r="O133" s="91">
        <f t="shared" si="24"/>
        <v>0</v>
      </c>
      <c r="P133" s="92">
        <f t="shared" si="22"/>
        <v>1323028</v>
      </c>
    </row>
    <row r="134" spans="1:16" ht="48">
      <c r="A134" s="80" t="s">
        <v>641</v>
      </c>
      <c r="B134" s="80" t="s">
        <v>642</v>
      </c>
      <c r="C134" s="107" t="s">
        <v>370</v>
      </c>
      <c r="D134" s="69" t="s">
        <v>643</v>
      </c>
      <c r="E134" s="97"/>
      <c r="F134" s="97"/>
      <c r="G134" s="97"/>
      <c r="H134" s="97"/>
      <c r="I134" s="97"/>
      <c r="J134" s="97">
        <f t="shared" si="23"/>
        <v>1911535</v>
      </c>
      <c r="K134" s="97">
        <f>297892+600000+1013643</f>
        <v>1911535</v>
      </c>
      <c r="L134" s="97"/>
      <c r="M134" s="97"/>
      <c r="N134" s="97"/>
      <c r="O134" s="97">
        <f>K134</f>
        <v>1911535</v>
      </c>
      <c r="P134" s="92">
        <f t="shared" si="22"/>
        <v>1911535</v>
      </c>
    </row>
    <row r="135" spans="1:18" ht="72">
      <c r="A135" s="80" t="s">
        <v>644</v>
      </c>
      <c r="B135" s="80" t="s">
        <v>645</v>
      </c>
      <c r="C135" s="107" t="s">
        <v>370</v>
      </c>
      <c r="D135" s="69" t="s">
        <v>646</v>
      </c>
      <c r="E135" s="97"/>
      <c r="F135" s="97"/>
      <c r="G135" s="97"/>
      <c r="H135" s="97"/>
      <c r="I135" s="97"/>
      <c r="J135" s="97">
        <f t="shared" si="23"/>
        <v>200000</v>
      </c>
      <c r="K135" s="97">
        <f>200000</f>
        <v>200000</v>
      </c>
      <c r="L135" s="97"/>
      <c r="M135" s="97"/>
      <c r="N135" s="97"/>
      <c r="O135" s="97">
        <f>K135</f>
        <v>200000</v>
      </c>
      <c r="P135" s="92">
        <f t="shared" si="22"/>
        <v>200000</v>
      </c>
      <c r="R135" s="277"/>
    </row>
    <row r="136" spans="1:16" ht="48.75" thickBot="1">
      <c r="A136" s="79" t="s">
        <v>473</v>
      </c>
      <c r="B136" s="79" t="s">
        <v>474</v>
      </c>
      <c r="C136" s="79" t="s">
        <v>475</v>
      </c>
      <c r="D136" s="72" t="s">
        <v>476</v>
      </c>
      <c r="E136" s="94">
        <f t="shared" si="27"/>
        <v>80000</v>
      </c>
      <c r="F136" s="94">
        <f>80000+80000-80000</f>
        <v>80000</v>
      </c>
      <c r="G136" s="94"/>
      <c r="H136" s="94"/>
      <c r="I136" s="94"/>
      <c r="J136" s="94">
        <f t="shared" si="23"/>
        <v>0</v>
      </c>
      <c r="K136" s="94"/>
      <c r="L136" s="94"/>
      <c r="M136" s="94"/>
      <c r="N136" s="94"/>
      <c r="O136" s="94">
        <f t="shared" si="24"/>
        <v>0</v>
      </c>
      <c r="P136" s="93">
        <f t="shared" si="22"/>
        <v>80000</v>
      </c>
    </row>
    <row r="137" spans="1:16" s="15" customFormat="1" ht="99.75" customHeight="1">
      <c r="A137" s="187" t="s">
        <v>477</v>
      </c>
      <c r="B137" s="188"/>
      <c r="C137" s="189"/>
      <c r="D137" s="54" t="s">
        <v>478</v>
      </c>
      <c r="E137" s="95">
        <f>E138</f>
        <v>10555550</v>
      </c>
      <c r="F137" s="95">
        <f aca="true" t="shared" si="28" ref="F137:N137">F138</f>
        <v>10555550</v>
      </c>
      <c r="G137" s="95">
        <f t="shared" si="28"/>
        <v>3629372</v>
      </c>
      <c r="H137" s="95">
        <f t="shared" si="28"/>
        <v>72537</v>
      </c>
      <c r="I137" s="95">
        <f t="shared" si="28"/>
        <v>0</v>
      </c>
      <c r="J137" s="95">
        <f t="shared" si="28"/>
        <v>1801796</v>
      </c>
      <c r="K137" s="95">
        <f t="shared" si="28"/>
        <v>1801796</v>
      </c>
      <c r="L137" s="95">
        <f t="shared" si="28"/>
        <v>0</v>
      </c>
      <c r="M137" s="95">
        <f t="shared" si="28"/>
        <v>0</v>
      </c>
      <c r="N137" s="95">
        <f t="shared" si="28"/>
        <v>0</v>
      </c>
      <c r="O137" s="95">
        <f t="shared" si="24"/>
        <v>1801796</v>
      </c>
      <c r="P137" s="89">
        <f t="shared" si="22"/>
        <v>12357346</v>
      </c>
    </row>
    <row r="138" spans="1:16" s="15" customFormat="1" ht="105.75" customHeight="1">
      <c r="A138" s="76" t="s">
        <v>479</v>
      </c>
      <c r="B138" s="76"/>
      <c r="C138" s="76"/>
      <c r="D138" s="55" t="s">
        <v>478</v>
      </c>
      <c r="E138" s="99">
        <f>SUM(E139:E151)</f>
        <v>10555550</v>
      </c>
      <c r="F138" s="99">
        <f aca="true" t="shared" si="29" ref="F138:N138">SUM(F139:F151)</f>
        <v>10555550</v>
      </c>
      <c r="G138" s="99">
        <f t="shared" si="29"/>
        <v>3629372</v>
      </c>
      <c r="H138" s="99">
        <f t="shared" si="29"/>
        <v>72537</v>
      </c>
      <c r="I138" s="99">
        <f t="shared" si="29"/>
        <v>0</v>
      </c>
      <c r="J138" s="99">
        <f t="shared" si="29"/>
        <v>1801796</v>
      </c>
      <c r="K138" s="99">
        <f t="shared" si="29"/>
        <v>1801796</v>
      </c>
      <c r="L138" s="99">
        <f t="shared" si="29"/>
        <v>0</v>
      </c>
      <c r="M138" s="99">
        <f t="shared" si="29"/>
        <v>0</v>
      </c>
      <c r="N138" s="99">
        <f t="shared" si="29"/>
        <v>0</v>
      </c>
      <c r="O138" s="99">
        <f t="shared" si="24"/>
        <v>1801796</v>
      </c>
      <c r="P138" s="90">
        <f t="shared" si="22"/>
        <v>12357346</v>
      </c>
    </row>
    <row r="139" spans="1:16" ht="120">
      <c r="A139" s="77" t="s">
        <v>480</v>
      </c>
      <c r="B139" s="77" t="s">
        <v>401</v>
      </c>
      <c r="C139" s="77" t="s">
        <v>306</v>
      </c>
      <c r="D139" s="57" t="s">
        <v>402</v>
      </c>
      <c r="E139" s="91">
        <f aca="true" t="shared" si="30" ref="E139:E151">F139</f>
        <v>826169</v>
      </c>
      <c r="F139" s="91">
        <f>1028030+47031-248892</f>
        <v>826169</v>
      </c>
      <c r="G139" s="91">
        <f>970553+47031-248892</f>
        <v>768692</v>
      </c>
      <c r="H139" s="91">
        <v>25477</v>
      </c>
      <c r="I139" s="91"/>
      <c r="J139" s="91">
        <f t="shared" si="23"/>
        <v>0</v>
      </c>
      <c r="K139" s="91"/>
      <c r="L139" s="91"/>
      <c r="M139" s="91"/>
      <c r="N139" s="91"/>
      <c r="O139" s="91">
        <f t="shared" si="24"/>
        <v>0</v>
      </c>
      <c r="P139" s="92">
        <f t="shared" si="22"/>
        <v>826169</v>
      </c>
    </row>
    <row r="140" spans="1:16" ht="48">
      <c r="A140" s="77" t="s">
        <v>481</v>
      </c>
      <c r="B140" s="77" t="s">
        <v>482</v>
      </c>
      <c r="C140" s="77" t="s">
        <v>336</v>
      </c>
      <c r="D140" s="62" t="s">
        <v>483</v>
      </c>
      <c r="E140" s="91">
        <f t="shared" si="30"/>
        <v>100700</v>
      </c>
      <c r="F140" s="91">
        <f>70700+30000</f>
        <v>100700</v>
      </c>
      <c r="G140" s="91"/>
      <c r="H140" s="91"/>
      <c r="I140" s="91"/>
      <c r="J140" s="91">
        <f t="shared" si="23"/>
        <v>0</v>
      </c>
      <c r="K140" s="91"/>
      <c r="L140" s="91"/>
      <c r="M140" s="91"/>
      <c r="N140" s="91"/>
      <c r="O140" s="91">
        <f t="shared" si="24"/>
        <v>0</v>
      </c>
      <c r="P140" s="92">
        <f t="shared" si="22"/>
        <v>100700</v>
      </c>
    </row>
    <row r="141" spans="1:16" ht="216" hidden="1">
      <c r="A141" s="77" t="s">
        <v>484</v>
      </c>
      <c r="B141" s="77" t="s">
        <v>485</v>
      </c>
      <c r="C141" s="77" t="s">
        <v>336</v>
      </c>
      <c r="D141" s="62" t="s">
        <v>486</v>
      </c>
      <c r="E141" s="91">
        <f t="shared" si="30"/>
        <v>0</v>
      </c>
      <c r="F141" s="91">
        <f>361200-361200</f>
        <v>0</v>
      </c>
      <c r="G141" s="91"/>
      <c r="H141" s="91"/>
      <c r="I141" s="91"/>
      <c r="J141" s="91">
        <f t="shared" si="23"/>
        <v>0</v>
      </c>
      <c r="K141" s="91"/>
      <c r="L141" s="91"/>
      <c r="M141" s="91"/>
      <c r="N141" s="91"/>
      <c r="O141" s="91">
        <f t="shared" si="24"/>
        <v>0</v>
      </c>
      <c r="P141" s="92">
        <f t="shared" si="22"/>
        <v>0</v>
      </c>
    </row>
    <row r="142" spans="1:16" ht="48" hidden="1">
      <c r="A142" s="77" t="s">
        <v>662</v>
      </c>
      <c r="B142" s="77" t="s">
        <v>638</v>
      </c>
      <c r="C142" s="77" t="s">
        <v>639</v>
      </c>
      <c r="D142" s="62" t="s">
        <v>640</v>
      </c>
      <c r="E142" s="91">
        <f>F142</f>
        <v>0</v>
      </c>
      <c r="F142" s="91">
        <f>11520-11520</f>
        <v>0</v>
      </c>
      <c r="G142" s="91"/>
      <c r="H142" s="91"/>
      <c r="I142" s="91"/>
      <c r="J142" s="91"/>
      <c r="K142" s="91"/>
      <c r="L142" s="91"/>
      <c r="M142" s="91"/>
      <c r="N142" s="91"/>
      <c r="O142" s="91"/>
      <c r="P142" s="92">
        <f t="shared" si="22"/>
        <v>0</v>
      </c>
    </row>
    <row r="143" spans="1:16" ht="96">
      <c r="A143" s="77" t="s">
        <v>487</v>
      </c>
      <c r="B143" s="77" t="s">
        <v>488</v>
      </c>
      <c r="C143" s="77" t="s">
        <v>431</v>
      </c>
      <c r="D143" s="57" t="s">
        <v>489</v>
      </c>
      <c r="E143" s="91">
        <f t="shared" si="30"/>
        <v>313685</v>
      </c>
      <c r="F143" s="91">
        <f>440000-73876-2983-2780-42151-4525</f>
        <v>313685</v>
      </c>
      <c r="G143" s="91"/>
      <c r="H143" s="91"/>
      <c r="I143" s="91"/>
      <c r="J143" s="91">
        <f t="shared" si="23"/>
        <v>0</v>
      </c>
      <c r="K143" s="91"/>
      <c r="L143" s="91"/>
      <c r="M143" s="91"/>
      <c r="N143" s="91"/>
      <c r="O143" s="91">
        <f t="shared" si="24"/>
        <v>0</v>
      </c>
      <c r="P143" s="92">
        <f t="shared" si="22"/>
        <v>313685</v>
      </c>
    </row>
    <row r="144" spans="1:16" ht="96">
      <c r="A144" s="77" t="s">
        <v>490</v>
      </c>
      <c r="B144" s="77" t="s">
        <v>430</v>
      </c>
      <c r="C144" s="77" t="s">
        <v>431</v>
      </c>
      <c r="D144" s="57" t="s">
        <v>432</v>
      </c>
      <c r="E144" s="91">
        <f t="shared" si="30"/>
        <v>2732769</v>
      </c>
      <c r="F144" s="91">
        <f>2732769</f>
        <v>2732769</v>
      </c>
      <c r="G144" s="91">
        <f>2253756+391814</f>
        <v>2645570</v>
      </c>
      <c r="H144" s="91">
        <f>42032</f>
        <v>42032</v>
      </c>
      <c r="I144" s="91"/>
      <c r="J144" s="91">
        <f t="shared" si="23"/>
        <v>0</v>
      </c>
      <c r="K144" s="91"/>
      <c r="L144" s="91"/>
      <c r="M144" s="91"/>
      <c r="N144" s="91"/>
      <c r="O144" s="91">
        <f t="shared" si="24"/>
        <v>0</v>
      </c>
      <c r="P144" s="92">
        <f t="shared" si="22"/>
        <v>2732769</v>
      </c>
    </row>
    <row r="145" spans="1:16" ht="72">
      <c r="A145" s="77" t="s">
        <v>491</v>
      </c>
      <c r="B145" s="77" t="s">
        <v>492</v>
      </c>
      <c r="C145" s="77" t="s">
        <v>431</v>
      </c>
      <c r="D145" s="57" t="s">
        <v>493</v>
      </c>
      <c r="E145" s="91">
        <f t="shared" si="30"/>
        <v>4354762</v>
      </c>
      <c r="F145" s="91">
        <f>3651500+85835+199300+73876+49950+12981+183600+14320+71880+11520</f>
        <v>4354762</v>
      </c>
      <c r="G145" s="91"/>
      <c r="H145" s="91"/>
      <c r="I145" s="91"/>
      <c r="J145" s="91">
        <f t="shared" si="23"/>
        <v>0</v>
      </c>
      <c r="K145" s="91"/>
      <c r="L145" s="91"/>
      <c r="M145" s="91"/>
      <c r="N145" s="91"/>
      <c r="O145" s="91">
        <f t="shared" si="24"/>
        <v>0</v>
      </c>
      <c r="P145" s="92">
        <f t="shared" si="22"/>
        <v>4354762</v>
      </c>
    </row>
    <row r="146" spans="1:16" ht="120">
      <c r="A146" s="77" t="s">
        <v>494</v>
      </c>
      <c r="B146" s="77" t="s">
        <v>495</v>
      </c>
      <c r="C146" s="77" t="s">
        <v>431</v>
      </c>
      <c r="D146" s="62" t="s">
        <v>75</v>
      </c>
      <c r="E146" s="91">
        <f t="shared" si="30"/>
        <v>1996940</v>
      </c>
      <c r="F146" s="91">
        <f>1630200+19550+54298+248892+44000</f>
        <v>1996940</v>
      </c>
      <c r="G146" s="91"/>
      <c r="H146" s="91"/>
      <c r="I146" s="91"/>
      <c r="J146" s="91">
        <f t="shared" si="23"/>
        <v>0</v>
      </c>
      <c r="K146" s="91"/>
      <c r="L146" s="91"/>
      <c r="M146" s="91"/>
      <c r="N146" s="91"/>
      <c r="O146" s="91">
        <f t="shared" si="24"/>
        <v>0</v>
      </c>
      <c r="P146" s="92">
        <f t="shared" si="22"/>
        <v>1996940</v>
      </c>
    </row>
    <row r="147" spans="1:16" ht="48">
      <c r="A147" s="77" t="s">
        <v>496</v>
      </c>
      <c r="B147" s="77" t="s">
        <v>497</v>
      </c>
      <c r="C147" s="77" t="s">
        <v>431</v>
      </c>
      <c r="D147" s="62" t="s">
        <v>498</v>
      </c>
      <c r="E147" s="91">
        <f t="shared" si="30"/>
        <v>226000</v>
      </c>
      <c r="F147" s="91">
        <v>226000</v>
      </c>
      <c r="G147" s="91">
        <v>215110</v>
      </c>
      <c r="H147" s="91">
        <v>5028</v>
      </c>
      <c r="I147" s="91"/>
      <c r="J147" s="91">
        <f t="shared" si="23"/>
        <v>13500</v>
      </c>
      <c r="K147" s="91">
        <f>13500</f>
        <v>13500</v>
      </c>
      <c r="L147" s="91"/>
      <c r="M147" s="91"/>
      <c r="N147" s="91"/>
      <c r="O147" s="91">
        <f t="shared" si="24"/>
        <v>13500</v>
      </c>
      <c r="P147" s="92">
        <f t="shared" si="22"/>
        <v>239500</v>
      </c>
    </row>
    <row r="148" spans="1:18" ht="72">
      <c r="A148" s="80" t="s">
        <v>618</v>
      </c>
      <c r="B148" s="80" t="s">
        <v>619</v>
      </c>
      <c r="C148" s="77" t="s">
        <v>370</v>
      </c>
      <c r="D148" s="62" t="s">
        <v>620</v>
      </c>
      <c r="E148" s="97"/>
      <c r="F148" s="97"/>
      <c r="G148" s="97"/>
      <c r="H148" s="97"/>
      <c r="I148" s="97"/>
      <c r="J148" s="97">
        <f t="shared" si="23"/>
        <v>575498</v>
      </c>
      <c r="K148" s="97">
        <f>575498+50006-50006</f>
        <v>575498</v>
      </c>
      <c r="L148" s="97"/>
      <c r="M148" s="97"/>
      <c r="N148" s="97"/>
      <c r="O148" s="97">
        <f>K148</f>
        <v>575498</v>
      </c>
      <c r="P148" s="92">
        <f t="shared" si="22"/>
        <v>575498</v>
      </c>
      <c r="R148" s="277"/>
    </row>
    <row r="149" spans="1:16" ht="120">
      <c r="A149" s="77" t="s">
        <v>610</v>
      </c>
      <c r="B149" s="77" t="s">
        <v>582</v>
      </c>
      <c r="C149" s="77" t="s">
        <v>371</v>
      </c>
      <c r="D149" s="57" t="s">
        <v>583</v>
      </c>
      <c r="E149" s="91"/>
      <c r="F149" s="91"/>
      <c r="G149" s="91"/>
      <c r="H149" s="91"/>
      <c r="I149" s="91"/>
      <c r="J149" s="91">
        <f t="shared" si="23"/>
        <v>892798</v>
      </c>
      <c r="K149" s="91">
        <f>174734+738383-20319</f>
        <v>892798</v>
      </c>
      <c r="L149" s="91"/>
      <c r="M149" s="91"/>
      <c r="N149" s="91"/>
      <c r="O149" s="91">
        <f>K149</f>
        <v>892798</v>
      </c>
      <c r="P149" s="92">
        <f t="shared" si="22"/>
        <v>892798</v>
      </c>
    </row>
    <row r="150" spans="1:16" ht="72">
      <c r="A150" s="77" t="s">
        <v>252</v>
      </c>
      <c r="B150" s="77" t="s">
        <v>586</v>
      </c>
      <c r="C150" s="77" t="s">
        <v>371</v>
      </c>
      <c r="D150" s="63" t="s">
        <v>587</v>
      </c>
      <c r="E150" s="91"/>
      <c r="F150" s="91"/>
      <c r="G150" s="91"/>
      <c r="H150" s="91"/>
      <c r="I150" s="91"/>
      <c r="J150" s="91">
        <f t="shared" si="23"/>
        <v>320000</v>
      </c>
      <c r="K150" s="91">
        <v>320000</v>
      </c>
      <c r="L150" s="91"/>
      <c r="M150" s="91"/>
      <c r="N150" s="91"/>
      <c r="O150" s="91">
        <f>K150</f>
        <v>320000</v>
      </c>
      <c r="P150" s="92">
        <f>E150+J150</f>
        <v>320000</v>
      </c>
    </row>
    <row r="151" spans="1:16" ht="48.75" thickBot="1">
      <c r="A151" s="191" t="s">
        <v>499</v>
      </c>
      <c r="B151" s="191" t="s">
        <v>380</v>
      </c>
      <c r="C151" s="191" t="s">
        <v>371</v>
      </c>
      <c r="D151" s="192" t="s">
        <v>381</v>
      </c>
      <c r="E151" s="193">
        <f t="shared" si="30"/>
        <v>4525</v>
      </c>
      <c r="F151" s="193">
        <v>4525</v>
      </c>
      <c r="G151" s="193"/>
      <c r="H151" s="193"/>
      <c r="I151" s="94"/>
      <c r="J151" s="94">
        <f t="shared" si="23"/>
        <v>0</v>
      </c>
      <c r="K151" s="94"/>
      <c r="L151" s="94"/>
      <c r="M151" s="94"/>
      <c r="N151" s="94"/>
      <c r="O151" s="94">
        <f t="shared" si="24"/>
        <v>0</v>
      </c>
      <c r="P151" s="194">
        <f t="shared" si="22"/>
        <v>4525</v>
      </c>
    </row>
    <row r="152" spans="1:16" s="15" customFormat="1" ht="116.25">
      <c r="A152" s="75" t="s">
        <v>500</v>
      </c>
      <c r="B152" s="75"/>
      <c r="C152" s="75"/>
      <c r="D152" s="73" t="s">
        <v>501</v>
      </c>
      <c r="E152" s="95">
        <f>E153</f>
        <v>1494026</v>
      </c>
      <c r="F152" s="95">
        <f aca="true" t="shared" si="31" ref="F152:N152">F153</f>
        <v>1494026</v>
      </c>
      <c r="G152" s="95">
        <f t="shared" si="31"/>
        <v>1241598</v>
      </c>
      <c r="H152" s="95">
        <f t="shared" si="31"/>
        <v>38432</v>
      </c>
      <c r="I152" s="95">
        <f t="shared" si="31"/>
        <v>0</v>
      </c>
      <c r="J152" s="95">
        <f t="shared" si="31"/>
        <v>22860</v>
      </c>
      <c r="K152" s="95">
        <f t="shared" si="31"/>
        <v>22860</v>
      </c>
      <c r="L152" s="95">
        <f t="shared" si="31"/>
        <v>0</v>
      </c>
      <c r="M152" s="95">
        <f t="shared" si="31"/>
        <v>0</v>
      </c>
      <c r="N152" s="95">
        <f t="shared" si="31"/>
        <v>0</v>
      </c>
      <c r="O152" s="95">
        <f t="shared" si="24"/>
        <v>22860</v>
      </c>
      <c r="P152" s="89">
        <f t="shared" si="22"/>
        <v>1516886</v>
      </c>
    </row>
    <row r="153" spans="1:16" s="15" customFormat="1" ht="116.25">
      <c r="A153" s="75" t="s">
        <v>502</v>
      </c>
      <c r="B153" s="75"/>
      <c r="C153" s="75"/>
      <c r="D153" s="73" t="s">
        <v>501</v>
      </c>
      <c r="E153" s="99">
        <f>E154+E155+E156+E157</f>
        <v>1494026</v>
      </c>
      <c r="F153" s="99">
        <f aca="true" t="shared" si="32" ref="F153:O153">F154+F155+F156+F157</f>
        <v>1494026</v>
      </c>
      <c r="G153" s="99">
        <f t="shared" si="32"/>
        <v>1241598</v>
      </c>
      <c r="H153" s="99">
        <f t="shared" si="32"/>
        <v>38432</v>
      </c>
      <c r="I153" s="99">
        <f t="shared" si="32"/>
        <v>0</v>
      </c>
      <c r="J153" s="99">
        <f t="shared" si="32"/>
        <v>22860</v>
      </c>
      <c r="K153" s="99">
        <f t="shared" si="32"/>
        <v>22860</v>
      </c>
      <c r="L153" s="99">
        <f t="shared" si="32"/>
        <v>0</v>
      </c>
      <c r="M153" s="99">
        <f t="shared" si="32"/>
        <v>0</v>
      </c>
      <c r="N153" s="99">
        <f t="shared" si="32"/>
        <v>0</v>
      </c>
      <c r="O153" s="99">
        <f t="shared" si="32"/>
        <v>22860</v>
      </c>
      <c r="P153" s="90">
        <f t="shared" si="22"/>
        <v>1516886</v>
      </c>
    </row>
    <row r="154" spans="1:16" ht="120">
      <c r="A154" s="80" t="s">
        <v>503</v>
      </c>
      <c r="B154" s="80" t="s">
        <v>401</v>
      </c>
      <c r="C154" s="80" t="s">
        <v>306</v>
      </c>
      <c r="D154" s="69" t="s">
        <v>402</v>
      </c>
      <c r="E154" s="91">
        <f>F154</f>
        <v>1307359</v>
      </c>
      <c r="F154" s="91">
        <f>1250263+57096</f>
        <v>1307359</v>
      </c>
      <c r="G154" s="91">
        <f>1184502+57096</f>
        <v>1241598</v>
      </c>
      <c r="H154" s="91">
        <v>38432</v>
      </c>
      <c r="I154" s="91"/>
      <c r="J154" s="91">
        <f t="shared" si="23"/>
        <v>0</v>
      </c>
      <c r="K154" s="91"/>
      <c r="L154" s="91"/>
      <c r="M154" s="91"/>
      <c r="N154" s="91"/>
      <c r="O154" s="91">
        <f t="shared" si="24"/>
        <v>0</v>
      </c>
      <c r="P154" s="92">
        <f t="shared" si="22"/>
        <v>1307359</v>
      </c>
    </row>
    <row r="155" spans="1:16" ht="72">
      <c r="A155" s="80" t="s">
        <v>664</v>
      </c>
      <c r="B155" s="80" t="s">
        <v>619</v>
      </c>
      <c r="C155" s="80" t="s">
        <v>370</v>
      </c>
      <c r="D155" s="69" t="s">
        <v>620</v>
      </c>
      <c r="E155" s="97"/>
      <c r="F155" s="97"/>
      <c r="G155" s="97"/>
      <c r="H155" s="97"/>
      <c r="I155" s="97"/>
      <c r="J155" s="91">
        <f t="shared" si="23"/>
        <v>22860</v>
      </c>
      <c r="K155" s="97">
        <v>22860</v>
      </c>
      <c r="L155" s="97"/>
      <c r="M155" s="97"/>
      <c r="N155" s="97"/>
      <c r="O155" s="91">
        <f t="shared" si="24"/>
        <v>22860</v>
      </c>
      <c r="P155" s="92">
        <f t="shared" si="22"/>
        <v>22860</v>
      </c>
    </row>
    <row r="156" spans="1:16" ht="120" hidden="1">
      <c r="A156" s="80" t="s">
        <v>663</v>
      </c>
      <c r="B156" s="80" t="s">
        <v>582</v>
      </c>
      <c r="C156" s="80" t="s">
        <v>371</v>
      </c>
      <c r="D156" s="69" t="s">
        <v>583</v>
      </c>
      <c r="E156" s="97"/>
      <c r="F156" s="97"/>
      <c r="G156" s="97"/>
      <c r="H156" s="97"/>
      <c r="I156" s="97"/>
      <c r="J156" s="91">
        <f t="shared" si="23"/>
        <v>0</v>
      </c>
      <c r="K156" s="97">
        <f>1945833+4720834-2000000-1000000-1445833-65146-2155688</f>
        <v>0</v>
      </c>
      <c r="L156" s="97"/>
      <c r="M156" s="97"/>
      <c r="N156" s="97"/>
      <c r="O156" s="91">
        <f t="shared" si="24"/>
        <v>0</v>
      </c>
      <c r="P156" s="92">
        <f t="shared" si="22"/>
        <v>0</v>
      </c>
    </row>
    <row r="157" spans="1:16" ht="48.75" thickBot="1">
      <c r="A157" s="79" t="s">
        <v>504</v>
      </c>
      <c r="B157" s="79" t="s">
        <v>380</v>
      </c>
      <c r="C157" s="79" t="s">
        <v>371</v>
      </c>
      <c r="D157" s="70" t="s">
        <v>381</v>
      </c>
      <c r="E157" s="94">
        <f>F157</f>
        <v>186667</v>
      </c>
      <c r="F157" s="94">
        <f>302398-115731</f>
        <v>186667</v>
      </c>
      <c r="G157" s="94"/>
      <c r="H157" s="94"/>
      <c r="I157" s="94"/>
      <c r="J157" s="94">
        <f t="shared" si="23"/>
        <v>0</v>
      </c>
      <c r="K157" s="94"/>
      <c r="L157" s="94"/>
      <c r="M157" s="94"/>
      <c r="N157" s="94"/>
      <c r="O157" s="94">
        <f t="shared" si="24"/>
        <v>0</v>
      </c>
      <c r="P157" s="93">
        <f t="shared" si="22"/>
        <v>186667</v>
      </c>
    </row>
    <row r="158" spans="1:16" s="15" customFormat="1" ht="126.75" customHeight="1">
      <c r="A158" s="75" t="s">
        <v>505</v>
      </c>
      <c r="B158" s="75"/>
      <c r="C158" s="75"/>
      <c r="D158" s="54" t="s">
        <v>506</v>
      </c>
      <c r="E158" s="95">
        <f>E159</f>
        <v>1248720</v>
      </c>
      <c r="F158" s="95">
        <f aca="true" t="shared" si="33" ref="F158:N159">F159</f>
        <v>1248720</v>
      </c>
      <c r="G158" s="95">
        <f t="shared" si="33"/>
        <v>1158854</v>
      </c>
      <c r="H158" s="95">
        <f t="shared" si="33"/>
        <v>43393</v>
      </c>
      <c r="I158" s="95">
        <f t="shared" si="33"/>
        <v>0</v>
      </c>
      <c r="J158" s="95">
        <f t="shared" si="33"/>
        <v>0</v>
      </c>
      <c r="K158" s="95">
        <f t="shared" si="33"/>
        <v>0</v>
      </c>
      <c r="L158" s="95">
        <f t="shared" si="33"/>
        <v>0</v>
      </c>
      <c r="M158" s="95">
        <f t="shared" si="33"/>
        <v>0</v>
      </c>
      <c r="N158" s="95">
        <f t="shared" si="33"/>
        <v>0</v>
      </c>
      <c r="O158" s="95">
        <f t="shared" si="24"/>
        <v>0</v>
      </c>
      <c r="P158" s="89">
        <f t="shared" si="22"/>
        <v>1248720</v>
      </c>
    </row>
    <row r="159" spans="1:16" s="15" customFormat="1" ht="135" customHeight="1">
      <c r="A159" s="75" t="s">
        <v>507</v>
      </c>
      <c r="B159" s="75"/>
      <c r="C159" s="75"/>
      <c r="D159" s="74" t="s">
        <v>506</v>
      </c>
      <c r="E159" s="99">
        <f>E160</f>
        <v>1248720</v>
      </c>
      <c r="F159" s="99">
        <f t="shared" si="33"/>
        <v>1248720</v>
      </c>
      <c r="G159" s="99">
        <f t="shared" si="33"/>
        <v>1158854</v>
      </c>
      <c r="H159" s="99">
        <f t="shared" si="33"/>
        <v>43393</v>
      </c>
      <c r="I159" s="99">
        <f t="shared" si="33"/>
        <v>0</v>
      </c>
      <c r="J159" s="99">
        <f t="shared" si="33"/>
        <v>0</v>
      </c>
      <c r="K159" s="99">
        <f t="shared" si="33"/>
        <v>0</v>
      </c>
      <c r="L159" s="99">
        <f t="shared" si="33"/>
        <v>0</v>
      </c>
      <c r="M159" s="99">
        <f t="shared" si="33"/>
        <v>0</v>
      </c>
      <c r="N159" s="99">
        <f t="shared" si="33"/>
        <v>0</v>
      </c>
      <c r="O159" s="99">
        <f t="shared" si="24"/>
        <v>0</v>
      </c>
      <c r="P159" s="90">
        <f t="shared" si="22"/>
        <v>1248720</v>
      </c>
    </row>
    <row r="160" spans="1:16" ht="120.75" thickBot="1">
      <c r="A160" s="79" t="s">
        <v>508</v>
      </c>
      <c r="B160" s="79" t="s">
        <v>401</v>
      </c>
      <c r="C160" s="79" t="s">
        <v>306</v>
      </c>
      <c r="D160" s="70" t="s">
        <v>509</v>
      </c>
      <c r="E160" s="94">
        <f>F160</f>
        <v>1248720</v>
      </c>
      <c r="F160" s="94">
        <f>1180715+55632+12373</f>
        <v>1248720</v>
      </c>
      <c r="G160" s="94">
        <f>1103222+55632</f>
        <v>1158854</v>
      </c>
      <c r="H160" s="94">
        <v>43393</v>
      </c>
      <c r="I160" s="94"/>
      <c r="J160" s="94">
        <f t="shared" si="23"/>
        <v>0</v>
      </c>
      <c r="K160" s="94"/>
      <c r="L160" s="94"/>
      <c r="M160" s="94"/>
      <c r="N160" s="94"/>
      <c r="O160" s="94">
        <f t="shared" si="24"/>
        <v>0</v>
      </c>
      <c r="P160" s="93">
        <f t="shared" si="22"/>
        <v>1248720</v>
      </c>
    </row>
    <row r="161" spans="1:16" s="15" customFormat="1" ht="156" customHeight="1">
      <c r="A161" s="75" t="s">
        <v>510</v>
      </c>
      <c r="B161" s="75"/>
      <c r="C161" s="75"/>
      <c r="D161" s="73" t="s">
        <v>511</v>
      </c>
      <c r="E161" s="95">
        <f>E162</f>
        <v>4077465</v>
      </c>
      <c r="F161" s="95">
        <f aca="true" t="shared" si="34" ref="F161:N161">F162</f>
        <v>4077465</v>
      </c>
      <c r="G161" s="95">
        <f t="shared" si="34"/>
        <v>2634296</v>
      </c>
      <c r="H161" s="95">
        <f t="shared" si="34"/>
        <v>95037</v>
      </c>
      <c r="I161" s="95">
        <f t="shared" si="34"/>
        <v>0</v>
      </c>
      <c r="J161" s="95">
        <f t="shared" si="34"/>
        <v>2570966</v>
      </c>
      <c r="K161" s="95">
        <f t="shared" si="34"/>
        <v>2570966</v>
      </c>
      <c r="L161" s="95">
        <f t="shared" si="34"/>
        <v>0</v>
      </c>
      <c r="M161" s="95">
        <f t="shared" si="34"/>
        <v>0</v>
      </c>
      <c r="N161" s="95">
        <f t="shared" si="34"/>
        <v>0</v>
      </c>
      <c r="O161" s="95">
        <f t="shared" si="24"/>
        <v>2570966</v>
      </c>
      <c r="P161" s="89">
        <f t="shared" si="22"/>
        <v>6648431</v>
      </c>
    </row>
    <row r="162" spans="1:16" s="15" customFormat="1" ht="159" customHeight="1">
      <c r="A162" s="75" t="s">
        <v>512</v>
      </c>
      <c r="B162" s="75"/>
      <c r="C162" s="75"/>
      <c r="D162" s="73" t="s">
        <v>511</v>
      </c>
      <c r="E162" s="99">
        <f>SUM(E163:E166)</f>
        <v>4077465</v>
      </c>
      <c r="F162" s="99">
        <f aca="true" t="shared" si="35" ref="F162:N162">SUM(F163:F166)</f>
        <v>4077465</v>
      </c>
      <c r="G162" s="99">
        <f t="shared" si="35"/>
        <v>2634296</v>
      </c>
      <c r="H162" s="99">
        <f t="shared" si="35"/>
        <v>95037</v>
      </c>
      <c r="I162" s="99">
        <f t="shared" si="35"/>
        <v>0</v>
      </c>
      <c r="J162" s="99">
        <f t="shared" si="35"/>
        <v>2570966</v>
      </c>
      <c r="K162" s="99">
        <f t="shared" si="35"/>
        <v>2570966</v>
      </c>
      <c r="L162" s="99">
        <f t="shared" si="35"/>
        <v>0</v>
      </c>
      <c r="M162" s="99">
        <f t="shared" si="35"/>
        <v>0</v>
      </c>
      <c r="N162" s="99">
        <f t="shared" si="35"/>
        <v>0</v>
      </c>
      <c r="O162" s="99">
        <f t="shared" si="24"/>
        <v>2570966</v>
      </c>
      <c r="P162" s="90">
        <f t="shared" si="22"/>
        <v>6648431</v>
      </c>
    </row>
    <row r="163" spans="1:16" ht="120">
      <c r="A163" s="77" t="s">
        <v>513</v>
      </c>
      <c r="B163" s="77" t="s">
        <v>401</v>
      </c>
      <c r="C163" s="77" t="s">
        <v>306</v>
      </c>
      <c r="D163" s="57" t="s">
        <v>402</v>
      </c>
      <c r="E163" s="91">
        <f>F163</f>
        <v>2369710</v>
      </c>
      <c r="F163" s="91">
        <f>2272854+96856</f>
        <v>2369710</v>
      </c>
      <c r="G163" s="91">
        <f>2178886+96856</f>
        <v>2275742</v>
      </c>
      <c r="H163" s="91">
        <v>60163</v>
      </c>
      <c r="I163" s="91"/>
      <c r="J163" s="91">
        <f t="shared" si="23"/>
        <v>0</v>
      </c>
      <c r="K163" s="91"/>
      <c r="L163" s="91"/>
      <c r="M163" s="91"/>
      <c r="N163" s="91"/>
      <c r="O163" s="91">
        <f t="shared" si="24"/>
        <v>0</v>
      </c>
      <c r="P163" s="92">
        <f t="shared" si="22"/>
        <v>2369710</v>
      </c>
    </row>
    <row r="164" spans="1:16" ht="48">
      <c r="A164" s="80" t="s">
        <v>514</v>
      </c>
      <c r="B164" s="80" t="s">
        <v>380</v>
      </c>
      <c r="C164" s="80" t="s">
        <v>371</v>
      </c>
      <c r="D164" s="69" t="s">
        <v>515</v>
      </c>
      <c r="E164" s="91">
        <f>F164</f>
        <v>453073</v>
      </c>
      <c r="F164" s="91">
        <f>385512+19994+7916+39651</f>
        <v>453073</v>
      </c>
      <c r="G164" s="91">
        <f>350638+7916</f>
        <v>358554</v>
      </c>
      <c r="H164" s="91">
        <v>34874</v>
      </c>
      <c r="I164" s="91"/>
      <c r="J164" s="91">
        <f t="shared" si="23"/>
        <v>39000</v>
      </c>
      <c r="K164" s="91">
        <f>39000</f>
        <v>39000</v>
      </c>
      <c r="L164" s="91"/>
      <c r="M164" s="91"/>
      <c r="N164" s="91"/>
      <c r="O164" s="91">
        <f t="shared" si="24"/>
        <v>39000</v>
      </c>
      <c r="P164" s="92">
        <f t="shared" si="22"/>
        <v>492073</v>
      </c>
    </row>
    <row r="165" spans="1:16" ht="96">
      <c r="A165" s="80" t="s">
        <v>759</v>
      </c>
      <c r="B165" s="80" t="s">
        <v>760</v>
      </c>
      <c r="C165" s="80" t="s">
        <v>761</v>
      </c>
      <c r="D165" s="69" t="s">
        <v>762</v>
      </c>
      <c r="E165" s="97">
        <f>F165+I165</f>
        <v>399313</v>
      </c>
      <c r="F165" s="97">
        <f>58915+37290+44542+18345+65636+93582+60553+20450</f>
        <v>399313</v>
      </c>
      <c r="G165" s="97"/>
      <c r="H165" s="97"/>
      <c r="I165" s="97"/>
      <c r="J165" s="97">
        <f>L165+O165</f>
        <v>2437709</v>
      </c>
      <c r="K165" s="97">
        <f>15300+69165+1000000+1353244</f>
        <v>2437709</v>
      </c>
      <c r="L165" s="97"/>
      <c r="M165" s="97"/>
      <c r="N165" s="97"/>
      <c r="O165" s="97">
        <f>K165</f>
        <v>2437709</v>
      </c>
      <c r="P165" s="92">
        <f t="shared" si="22"/>
        <v>2837022</v>
      </c>
    </row>
    <row r="166" spans="1:16" ht="48.75" thickBot="1">
      <c r="A166" s="79" t="s">
        <v>516</v>
      </c>
      <c r="B166" s="79" t="s">
        <v>517</v>
      </c>
      <c r="C166" s="79" t="s">
        <v>384</v>
      </c>
      <c r="D166" s="70" t="s">
        <v>518</v>
      </c>
      <c r="E166" s="94">
        <f>F166</f>
        <v>855369</v>
      </c>
      <c r="F166" s="94">
        <f>200000-18846+20000+100000-9399+200000+165920-19994+88960+128728</f>
        <v>855369</v>
      </c>
      <c r="G166" s="94"/>
      <c r="H166" s="94"/>
      <c r="I166" s="94"/>
      <c r="J166" s="94">
        <f t="shared" si="23"/>
        <v>94257</v>
      </c>
      <c r="K166" s="94">
        <f>18846+9399+66012</f>
        <v>94257</v>
      </c>
      <c r="L166" s="94"/>
      <c r="M166" s="94"/>
      <c r="N166" s="94"/>
      <c r="O166" s="94">
        <f t="shared" si="24"/>
        <v>94257</v>
      </c>
      <c r="P166" s="93">
        <f t="shared" si="22"/>
        <v>949626</v>
      </c>
    </row>
    <row r="167" spans="1:16" s="15" customFormat="1" ht="139.5" customHeight="1">
      <c r="A167" s="75" t="s">
        <v>519</v>
      </c>
      <c r="B167" s="75"/>
      <c r="C167" s="75"/>
      <c r="D167" s="54" t="s">
        <v>520</v>
      </c>
      <c r="E167" s="95">
        <f>E168</f>
        <v>12476292</v>
      </c>
      <c r="F167" s="95">
        <f aca="true" t="shared" si="36" ref="F167:N167">F168</f>
        <v>12476292</v>
      </c>
      <c r="G167" s="95">
        <f t="shared" si="36"/>
        <v>6225740</v>
      </c>
      <c r="H167" s="95">
        <f t="shared" si="36"/>
        <v>871929</v>
      </c>
      <c r="I167" s="95">
        <f t="shared" si="36"/>
        <v>0</v>
      </c>
      <c r="J167" s="95">
        <f t="shared" si="36"/>
        <v>5323641</v>
      </c>
      <c r="K167" s="95">
        <f t="shared" si="36"/>
        <v>5236368</v>
      </c>
      <c r="L167" s="95">
        <f t="shared" si="36"/>
        <v>87273</v>
      </c>
      <c r="M167" s="95">
        <f t="shared" si="36"/>
        <v>0</v>
      </c>
      <c r="N167" s="95">
        <f t="shared" si="36"/>
        <v>0</v>
      </c>
      <c r="O167" s="95">
        <f t="shared" si="24"/>
        <v>5236368</v>
      </c>
      <c r="P167" s="89">
        <f t="shared" si="22"/>
        <v>17799933</v>
      </c>
    </row>
    <row r="168" spans="1:16" s="15" customFormat="1" ht="154.5" customHeight="1">
      <c r="A168" s="76" t="s">
        <v>521</v>
      </c>
      <c r="B168" s="76"/>
      <c r="C168" s="76"/>
      <c r="D168" s="54" t="s">
        <v>520</v>
      </c>
      <c r="E168" s="99">
        <f>SUM(E169:E180)</f>
        <v>12476292</v>
      </c>
      <c r="F168" s="99">
        <f aca="true" t="shared" si="37" ref="F168:N168">SUM(F169:F180)</f>
        <v>12476292</v>
      </c>
      <c r="G168" s="99">
        <f t="shared" si="37"/>
        <v>6225740</v>
      </c>
      <c r="H168" s="99">
        <f t="shared" si="37"/>
        <v>871929</v>
      </c>
      <c r="I168" s="99">
        <f t="shared" si="37"/>
        <v>0</v>
      </c>
      <c r="J168" s="99">
        <f t="shared" si="37"/>
        <v>5323641</v>
      </c>
      <c r="K168" s="99">
        <f t="shared" si="37"/>
        <v>5236368</v>
      </c>
      <c r="L168" s="99">
        <f t="shared" si="37"/>
        <v>87273</v>
      </c>
      <c r="M168" s="99">
        <f t="shared" si="37"/>
        <v>0</v>
      </c>
      <c r="N168" s="99">
        <f t="shared" si="37"/>
        <v>0</v>
      </c>
      <c r="O168" s="99">
        <f t="shared" si="24"/>
        <v>5236368</v>
      </c>
      <c r="P168" s="90">
        <f t="shared" si="22"/>
        <v>17799933</v>
      </c>
    </row>
    <row r="169" spans="1:16" ht="120">
      <c r="A169" s="77" t="s">
        <v>522</v>
      </c>
      <c r="B169" s="77" t="s">
        <v>401</v>
      </c>
      <c r="C169" s="77" t="s">
        <v>306</v>
      </c>
      <c r="D169" s="57" t="s">
        <v>402</v>
      </c>
      <c r="E169" s="91">
        <f>F169</f>
        <v>6826541</v>
      </c>
      <c r="F169" s="91">
        <f>5050013+8519-16922+225310+1559621</f>
        <v>6826541</v>
      </c>
      <c r="G169" s="91">
        <f>4582418+225310+1380720</f>
        <v>6188448</v>
      </c>
      <c r="H169" s="91">
        <f>168488-16922+79937</f>
        <v>231503</v>
      </c>
      <c r="I169" s="91"/>
      <c r="J169" s="91">
        <f t="shared" si="23"/>
        <v>87273</v>
      </c>
      <c r="K169" s="91"/>
      <c r="L169" s="91">
        <f>66273+21000</f>
        <v>87273</v>
      </c>
      <c r="M169" s="91"/>
      <c r="N169" s="91"/>
      <c r="O169" s="91">
        <f t="shared" si="24"/>
        <v>0</v>
      </c>
      <c r="P169" s="92">
        <f t="shared" si="22"/>
        <v>6913814</v>
      </c>
    </row>
    <row r="170" spans="1:16" ht="48">
      <c r="A170" s="77" t="s">
        <v>665</v>
      </c>
      <c r="B170" s="77" t="s">
        <v>638</v>
      </c>
      <c r="C170" s="77" t="s">
        <v>639</v>
      </c>
      <c r="D170" s="62" t="s">
        <v>640</v>
      </c>
      <c r="E170" s="91">
        <f>F170</f>
        <v>37292</v>
      </c>
      <c r="F170" s="91">
        <f>24638+12654</f>
        <v>37292</v>
      </c>
      <c r="G170" s="91">
        <f>24638+12654</f>
        <v>37292</v>
      </c>
      <c r="H170" s="91"/>
      <c r="I170" s="91"/>
      <c r="J170" s="91"/>
      <c r="K170" s="91"/>
      <c r="L170" s="91"/>
      <c r="M170" s="91"/>
      <c r="N170" s="91"/>
      <c r="O170" s="91"/>
      <c r="P170" s="92">
        <f t="shared" si="22"/>
        <v>37292</v>
      </c>
    </row>
    <row r="171" spans="1:16" ht="48">
      <c r="A171" s="77" t="s">
        <v>576</v>
      </c>
      <c r="B171" s="77" t="s">
        <v>351</v>
      </c>
      <c r="C171" s="77" t="s">
        <v>348</v>
      </c>
      <c r="D171" s="57" t="s">
        <v>352</v>
      </c>
      <c r="E171" s="91">
        <f>F171</f>
        <v>44480</v>
      </c>
      <c r="F171" s="91">
        <v>44480</v>
      </c>
      <c r="G171" s="91"/>
      <c r="H171" s="91"/>
      <c r="I171" s="91"/>
      <c r="J171" s="91">
        <f t="shared" si="23"/>
        <v>0</v>
      </c>
      <c r="K171" s="91"/>
      <c r="L171" s="91"/>
      <c r="M171" s="91"/>
      <c r="N171" s="91"/>
      <c r="O171" s="91">
        <f t="shared" si="24"/>
        <v>0</v>
      </c>
      <c r="P171" s="92">
        <f t="shared" si="22"/>
        <v>44480</v>
      </c>
    </row>
    <row r="172" spans="1:16" ht="96">
      <c r="A172" s="77" t="s">
        <v>523</v>
      </c>
      <c r="B172" s="77" t="s">
        <v>354</v>
      </c>
      <c r="C172" s="77" t="s">
        <v>348</v>
      </c>
      <c r="D172" s="57" t="s">
        <v>355</v>
      </c>
      <c r="E172" s="91">
        <f aca="true" t="shared" si="38" ref="E172:E180">F172</f>
        <v>325522</v>
      </c>
      <c r="F172" s="91">
        <f>55000+270522</f>
        <v>325522</v>
      </c>
      <c r="G172" s="91"/>
      <c r="H172" s="91"/>
      <c r="I172" s="91"/>
      <c r="J172" s="91">
        <f t="shared" si="23"/>
        <v>0</v>
      </c>
      <c r="K172" s="91"/>
      <c r="L172" s="91"/>
      <c r="M172" s="91"/>
      <c r="N172" s="91"/>
      <c r="O172" s="91">
        <f t="shared" si="24"/>
        <v>0</v>
      </c>
      <c r="P172" s="92">
        <f t="shared" si="22"/>
        <v>325522</v>
      </c>
    </row>
    <row r="173" spans="1:16" ht="48">
      <c r="A173" s="77" t="s">
        <v>524</v>
      </c>
      <c r="B173" s="77" t="s">
        <v>360</v>
      </c>
      <c r="C173" s="77" t="s">
        <v>348</v>
      </c>
      <c r="D173" s="57" t="s">
        <v>361</v>
      </c>
      <c r="E173" s="91">
        <f t="shared" si="38"/>
        <v>2786149</v>
      </c>
      <c r="F173" s="91">
        <f>2039358+511184+144987-12654+25970+49226+28078</f>
        <v>2786149</v>
      </c>
      <c r="G173" s="91"/>
      <c r="H173" s="91">
        <f>587926+50526</f>
        <v>638452</v>
      </c>
      <c r="I173" s="91"/>
      <c r="J173" s="91">
        <f t="shared" si="23"/>
        <v>698188</v>
      </c>
      <c r="K173" s="91">
        <f>199980+108131+385200+8000-3123</f>
        <v>698188</v>
      </c>
      <c r="L173" s="91"/>
      <c r="M173" s="91"/>
      <c r="N173" s="91"/>
      <c r="O173" s="91">
        <f t="shared" si="24"/>
        <v>698188</v>
      </c>
      <c r="P173" s="92">
        <f t="shared" si="22"/>
        <v>3484337</v>
      </c>
    </row>
    <row r="174" spans="1:16" ht="48">
      <c r="A174" s="77" t="s">
        <v>574</v>
      </c>
      <c r="B174" s="77" t="s">
        <v>575</v>
      </c>
      <c r="C174" s="77" t="s">
        <v>348</v>
      </c>
      <c r="D174" s="57" t="s">
        <v>577</v>
      </c>
      <c r="E174" s="91">
        <f t="shared" si="38"/>
        <v>548324</v>
      </c>
      <c r="F174" s="91">
        <f>199000+299792+49532</f>
        <v>548324</v>
      </c>
      <c r="G174" s="91"/>
      <c r="H174" s="91"/>
      <c r="I174" s="91"/>
      <c r="J174" s="91">
        <f t="shared" si="23"/>
        <v>96050</v>
      </c>
      <c r="K174" s="91">
        <f>75050+21000</f>
        <v>96050</v>
      </c>
      <c r="L174" s="91"/>
      <c r="M174" s="91"/>
      <c r="N174" s="91"/>
      <c r="O174" s="91">
        <f t="shared" si="24"/>
        <v>96050</v>
      </c>
      <c r="P174" s="92">
        <f t="shared" si="22"/>
        <v>644374</v>
      </c>
    </row>
    <row r="175" spans="1:16" ht="48">
      <c r="A175" s="77" t="s">
        <v>525</v>
      </c>
      <c r="B175" s="77" t="s">
        <v>367</v>
      </c>
      <c r="C175" s="77" t="s">
        <v>368</v>
      </c>
      <c r="D175" s="57" t="s">
        <v>369</v>
      </c>
      <c r="E175" s="91">
        <f t="shared" si="38"/>
        <v>47380</v>
      </c>
      <c r="F175" s="91">
        <f>122576-75196</f>
        <v>47380</v>
      </c>
      <c r="G175" s="91"/>
      <c r="H175" s="91"/>
      <c r="I175" s="91"/>
      <c r="J175" s="91">
        <f t="shared" si="23"/>
        <v>0</v>
      </c>
      <c r="K175" s="91"/>
      <c r="L175" s="91"/>
      <c r="M175" s="91"/>
      <c r="N175" s="91"/>
      <c r="O175" s="91">
        <f t="shared" si="24"/>
        <v>0</v>
      </c>
      <c r="P175" s="92">
        <f t="shared" si="22"/>
        <v>47380</v>
      </c>
    </row>
    <row r="176" spans="1:16" ht="72">
      <c r="A176" s="77" t="s">
        <v>571</v>
      </c>
      <c r="B176" s="77" t="s">
        <v>572</v>
      </c>
      <c r="C176" s="77" t="s">
        <v>370</v>
      </c>
      <c r="D176" s="57" t="s">
        <v>573</v>
      </c>
      <c r="E176" s="91">
        <f t="shared" si="38"/>
        <v>0</v>
      </c>
      <c r="F176" s="91"/>
      <c r="G176" s="91"/>
      <c r="H176" s="91"/>
      <c r="I176" s="91"/>
      <c r="J176" s="91">
        <f t="shared" si="23"/>
        <v>324298</v>
      </c>
      <c r="K176" s="91">
        <f>575278+50000-299792-1188</f>
        <v>324298</v>
      </c>
      <c r="L176" s="91"/>
      <c r="M176" s="91"/>
      <c r="N176" s="91"/>
      <c r="O176" s="91">
        <f t="shared" si="24"/>
        <v>324298</v>
      </c>
      <c r="P176" s="92">
        <f t="shared" si="22"/>
        <v>324298</v>
      </c>
    </row>
    <row r="177" spans="1:16" ht="48">
      <c r="A177" s="77" t="s">
        <v>526</v>
      </c>
      <c r="B177" s="77" t="s">
        <v>527</v>
      </c>
      <c r="C177" s="77" t="s">
        <v>370</v>
      </c>
      <c r="D177" s="57" t="s">
        <v>528</v>
      </c>
      <c r="E177" s="91">
        <f t="shared" si="38"/>
        <v>0</v>
      </c>
      <c r="F177" s="91"/>
      <c r="G177" s="91"/>
      <c r="H177" s="91"/>
      <c r="I177" s="91"/>
      <c r="J177" s="91">
        <f t="shared" si="23"/>
        <v>2786132</v>
      </c>
      <c r="K177" s="91">
        <f>667868+424269+1450000+35459+149976+49950+35500-26890</f>
        <v>2786132</v>
      </c>
      <c r="L177" s="91"/>
      <c r="M177" s="91"/>
      <c r="N177" s="91"/>
      <c r="O177" s="91">
        <f t="shared" si="24"/>
        <v>2786132</v>
      </c>
      <c r="P177" s="92">
        <f t="shared" si="22"/>
        <v>2786132</v>
      </c>
    </row>
    <row r="178" spans="1:16" ht="96">
      <c r="A178" s="77" t="s">
        <v>529</v>
      </c>
      <c r="B178" s="77" t="s">
        <v>530</v>
      </c>
      <c r="C178" s="77" t="s">
        <v>370</v>
      </c>
      <c r="D178" s="57" t="s">
        <v>531</v>
      </c>
      <c r="E178" s="91">
        <f t="shared" si="38"/>
        <v>0</v>
      </c>
      <c r="F178" s="91"/>
      <c r="G178" s="91"/>
      <c r="H178" s="91"/>
      <c r="I178" s="91"/>
      <c r="J178" s="91">
        <f t="shared" si="23"/>
        <v>93500</v>
      </c>
      <c r="K178" s="91">
        <v>93500</v>
      </c>
      <c r="L178" s="91"/>
      <c r="M178" s="91"/>
      <c r="N178" s="91"/>
      <c r="O178" s="91">
        <f t="shared" si="24"/>
        <v>93500</v>
      </c>
      <c r="P178" s="92">
        <f t="shared" si="22"/>
        <v>93500</v>
      </c>
    </row>
    <row r="179" spans="1:16" ht="120">
      <c r="A179" s="77" t="s">
        <v>532</v>
      </c>
      <c r="B179" s="77" t="s">
        <v>373</v>
      </c>
      <c r="C179" s="77" t="s">
        <v>374</v>
      </c>
      <c r="D179" s="57" t="s">
        <v>375</v>
      </c>
      <c r="E179" s="91">
        <f t="shared" si="38"/>
        <v>1855038</v>
      </c>
      <c r="F179" s="91">
        <f>1609406+225077+190000-151568-17877</f>
        <v>1855038</v>
      </c>
      <c r="G179" s="91"/>
      <c r="H179" s="91"/>
      <c r="I179" s="91"/>
      <c r="J179" s="91">
        <f t="shared" si="23"/>
        <v>1238200</v>
      </c>
      <c r="K179" s="91">
        <f>1189802+48398</f>
        <v>1238200</v>
      </c>
      <c r="L179" s="91"/>
      <c r="M179" s="91"/>
      <c r="N179" s="91"/>
      <c r="O179" s="91">
        <f t="shared" si="24"/>
        <v>1238200</v>
      </c>
      <c r="P179" s="92">
        <f t="shared" si="22"/>
        <v>3093238</v>
      </c>
    </row>
    <row r="180" spans="1:16" ht="61.5" customHeight="1" thickBot="1">
      <c r="A180" s="79" t="s">
        <v>533</v>
      </c>
      <c r="B180" s="79" t="s">
        <v>380</v>
      </c>
      <c r="C180" s="79" t="s">
        <v>371</v>
      </c>
      <c r="D180" s="70" t="s">
        <v>381</v>
      </c>
      <c r="E180" s="94">
        <f t="shared" si="38"/>
        <v>5566</v>
      </c>
      <c r="F180" s="94">
        <f>3974+1592</f>
        <v>5566</v>
      </c>
      <c r="G180" s="94"/>
      <c r="H180" s="94">
        <v>1974</v>
      </c>
      <c r="I180" s="94"/>
      <c r="J180" s="94">
        <f t="shared" si="23"/>
        <v>0</v>
      </c>
      <c r="K180" s="94"/>
      <c r="L180" s="94"/>
      <c r="M180" s="94"/>
      <c r="N180" s="94"/>
      <c r="O180" s="94">
        <f t="shared" si="24"/>
        <v>0</v>
      </c>
      <c r="P180" s="93">
        <f t="shared" si="22"/>
        <v>5566</v>
      </c>
    </row>
    <row r="181" spans="1:16" s="15" customFormat="1" ht="92.25" customHeight="1">
      <c r="A181" s="75" t="s">
        <v>534</v>
      </c>
      <c r="B181" s="75"/>
      <c r="C181" s="75"/>
      <c r="D181" s="73" t="s">
        <v>535</v>
      </c>
      <c r="E181" s="95">
        <f>E182</f>
        <v>1916226</v>
      </c>
      <c r="F181" s="95">
        <f aca="true" t="shared" si="39" ref="F181:N182">F182</f>
        <v>1916226</v>
      </c>
      <c r="G181" s="95">
        <f t="shared" si="39"/>
        <v>1682351</v>
      </c>
      <c r="H181" s="95">
        <f t="shared" si="39"/>
        <v>68238</v>
      </c>
      <c r="I181" s="95">
        <f t="shared" si="39"/>
        <v>0</v>
      </c>
      <c r="J181" s="95">
        <f t="shared" si="39"/>
        <v>0</v>
      </c>
      <c r="K181" s="95">
        <f t="shared" si="39"/>
        <v>0</v>
      </c>
      <c r="L181" s="95">
        <f t="shared" si="39"/>
        <v>0</v>
      </c>
      <c r="M181" s="95">
        <f t="shared" si="39"/>
        <v>0</v>
      </c>
      <c r="N181" s="95">
        <f t="shared" si="39"/>
        <v>0</v>
      </c>
      <c r="O181" s="95">
        <f t="shared" si="24"/>
        <v>0</v>
      </c>
      <c r="P181" s="89">
        <f t="shared" si="22"/>
        <v>1916226</v>
      </c>
    </row>
    <row r="182" spans="1:16" s="15" customFormat="1" ht="88.5" customHeight="1">
      <c r="A182" s="75" t="s">
        <v>536</v>
      </c>
      <c r="B182" s="75"/>
      <c r="C182" s="75"/>
      <c r="D182" s="73" t="s">
        <v>535</v>
      </c>
      <c r="E182" s="99">
        <f>E183</f>
        <v>1916226</v>
      </c>
      <c r="F182" s="99">
        <f t="shared" si="39"/>
        <v>1916226</v>
      </c>
      <c r="G182" s="99">
        <f t="shared" si="39"/>
        <v>1682351</v>
      </c>
      <c r="H182" s="99">
        <f t="shared" si="39"/>
        <v>68238</v>
      </c>
      <c r="I182" s="99">
        <f t="shared" si="39"/>
        <v>0</v>
      </c>
      <c r="J182" s="99">
        <f t="shared" si="39"/>
        <v>0</v>
      </c>
      <c r="K182" s="99">
        <f t="shared" si="39"/>
        <v>0</v>
      </c>
      <c r="L182" s="99">
        <f t="shared" si="39"/>
        <v>0</v>
      </c>
      <c r="M182" s="99">
        <f t="shared" si="39"/>
        <v>0</v>
      </c>
      <c r="N182" s="99">
        <f t="shared" si="39"/>
        <v>0</v>
      </c>
      <c r="O182" s="99">
        <f t="shared" si="24"/>
        <v>0</v>
      </c>
      <c r="P182" s="90">
        <f t="shared" si="22"/>
        <v>1916226</v>
      </c>
    </row>
    <row r="183" spans="1:16" ht="144" customHeight="1" thickBot="1">
      <c r="A183" s="79" t="s">
        <v>537</v>
      </c>
      <c r="B183" s="79" t="s">
        <v>401</v>
      </c>
      <c r="C183" s="79" t="s">
        <v>306</v>
      </c>
      <c r="D183" s="70" t="s">
        <v>402</v>
      </c>
      <c r="E183" s="94">
        <f>F183</f>
        <v>1916226</v>
      </c>
      <c r="F183" s="94">
        <f>1760259+77830+67000+11137</f>
        <v>1916226</v>
      </c>
      <c r="G183" s="94">
        <f>1604521+77830</f>
        <v>1682351</v>
      </c>
      <c r="H183" s="94">
        <v>68238</v>
      </c>
      <c r="I183" s="94"/>
      <c r="J183" s="94">
        <f t="shared" si="23"/>
        <v>0</v>
      </c>
      <c r="K183" s="94"/>
      <c r="L183" s="94"/>
      <c r="M183" s="94"/>
      <c r="N183" s="94"/>
      <c r="O183" s="94">
        <f t="shared" si="24"/>
        <v>0</v>
      </c>
      <c r="P183" s="93">
        <f t="shared" si="22"/>
        <v>1916226</v>
      </c>
    </row>
    <row r="184" spans="1:16" s="15" customFormat="1" ht="90.75" customHeight="1">
      <c r="A184" s="75" t="s">
        <v>538</v>
      </c>
      <c r="B184" s="75"/>
      <c r="C184" s="75"/>
      <c r="D184" s="73" t="s">
        <v>539</v>
      </c>
      <c r="E184" s="95">
        <f aca="true" t="shared" si="40" ref="E184:N184">E185</f>
        <v>5722347</v>
      </c>
      <c r="F184" s="95">
        <f t="shared" si="40"/>
        <v>5224240</v>
      </c>
      <c r="G184" s="95">
        <f t="shared" si="40"/>
        <v>3124416</v>
      </c>
      <c r="H184" s="95">
        <f t="shared" si="40"/>
        <v>94184</v>
      </c>
      <c r="I184" s="95">
        <f t="shared" si="40"/>
        <v>405000</v>
      </c>
      <c r="J184" s="95">
        <f t="shared" si="40"/>
        <v>0</v>
      </c>
      <c r="K184" s="95">
        <f t="shared" si="40"/>
        <v>0</v>
      </c>
      <c r="L184" s="95">
        <f t="shared" si="40"/>
        <v>0</v>
      </c>
      <c r="M184" s="95">
        <f t="shared" si="40"/>
        <v>0</v>
      </c>
      <c r="N184" s="95">
        <f t="shared" si="40"/>
        <v>0</v>
      </c>
      <c r="O184" s="95">
        <f t="shared" si="24"/>
        <v>0</v>
      </c>
      <c r="P184" s="89">
        <f t="shared" si="22"/>
        <v>5722347</v>
      </c>
    </row>
    <row r="185" spans="1:16" s="15" customFormat="1" ht="87" customHeight="1">
      <c r="A185" s="75" t="s">
        <v>540</v>
      </c>
      <c r="B185" s="75"/>
      <c r="C185" s="75"/>
      <c r="D185" s="73" t="s">
        <v>539</v>
      </c>
      <c r="E185" s="99">
        <f>E186+E187+E189+E192+E188</f>
        <v>5722347</v>
      </c>
      <c r="F185" s="99">
        <f>F186+F187+F189+F192+F188</f>
        <v>5224240</v>
      </c>
      <c r="G185" s="99">
        <f>G186+G187+G189+G192+G188</f>
        <v>3124416</v>
      </c>
      <c r="H185" s="99">
        <f>H186+H187+H189+H192+H188</f>
        <v>94184</v>
      </c>
      <c r="I185" s="99">
        <f>I186+I187+I189+I192+I188</f>
        <v>405000</v>
      </c>
      <c r="J185" s="99">
        <f>J186+J187</f>
        <v>0</v>
      </c>
      <c r="K185" s="99">
        <f>K186+K187</f>
        <v>0</v>
      </c>
      <c r="L185" s="99">
        <f>L186+L187</f>
        <v>0</v>
      </c>
      <c r="M185" s="99">
        <f>M186+M187</f>
        <v>0</v>
      </c>
      <c r="N185" s="99">
        <f>N186+N187</f>
        <v>0</v>
      </c>
      <c r="O185" s="99">
        <f t="shared" si="24"/>
        <v>0</v>
      </c>
      <c r="P185" s="90">
        <f t="shared" si="22"/>
        <v>5722347</v>
      </c>
    </row>
    <row r="186" spans="1:16" ht="137.25" customHeight="1">
      <c r="A186" s="80" t="s">
        <v>541</v>
      </c>
      <c r="B186" s="80" t="s">
        <v>401</v>
      </c>
      <c r="C186" s="80" t="s">
        <v>306</v>
      </c>
      <c r="D186" s="69" t="s">
        <v>402</v>
      </c>
      <c r="E186" s="91">
        <f>F186</f>
        <v>3356621</v>
      </c>
      <c r="F186" s="91">
        <f>3159793+50000+137207+476620-46999-100000-50000-270000</f>
        <v>3356621</v>
      </c>
      <c r="G186" s="91">
        <f>50000+2937209+137207</f>
        <v>3124416</v>
      </c>
      <c r="H186" s="91">
        <v>94184</v>
      </c>
      <c r="I186" s="91"/>
      <c r="J186" s="91">
        <f t="shared" si="23"/>
        <v>0</v>
      </c>
      <c r="K186" s="91"/>
      <c r="L186" s="91"/>
      <c r="M186" s="91"/>
      <c r="N186" s="91"/>
      <c r="O186" s="91">
        <f t="shared" si="24"/>
        <v>0</v>
      </c>
      <c r="P186" s="92">
        <f t="shared" si="22"/>
        <v>3356621</v>
      </c>
    </row>
    <row r="187" spans="1:16" ht="39.75" customHeight="1">
      <c r="A187" s="77" t="s">
        <v>542</v>
      </c>
      <c r="B187" s="77" t="s">
        <v>543</v>
      </c>
      <c r="C187" s="77" t="s">
        <v>313</v>
      </c>
      <c r="D187" s="57" t="s">
        <v>544</v>
      </c>
      <c r="E187" s="91">
        <f>500000+1000000-74215-106455-44542-18345-65636-195908-547635-49532-129796-93582+1000000-60553-1000000+1353000-1353244-20450</f>
        <v>93107</v>
      </c>
      <c r="F187" s="91"/>
      <c r="G187" s="91"/>
      <c r="H187" s="91"/>
      <c r="I187" s="91"/>
      <c r="J187" s="91">
        <f t="shared" si="23"/>
        <v>0</v>
      </c>
      <c r="K187" s="91"/>
      <c r="L187" s="91"/>
      <c r="M187" s="91"/>
      <c r="N187" s="91"/>
      <c r="O187" s="91">
        <f t="shared" si="24"/>
        <v>0</v>
      </c>
      <c r="P187" s="92">
        <f t="shared" si="22"/>
        <v>93107</v>
      </c>
    </row>
    <row r="188" spans="1:16" ht="180" customHeight="1">
      <c r="A188" s="77" t="s">
        <v>264</v>
      </c>
      <c r="B188" s="77" t="s">
        <v>265</v>
      </c>
      <c r="C188" s="77" t="s">
        <v>312</v>
      </c>
      <c r="D188" s="57" t="s">
        <v>266</v>
      </c>
      <c r="E188" s="91">
        <f>F188</f>
        <v>892421</v>
      </c>
      <c r="F188" s="91">
        <f>831083+61338</f>
        <v>892421</v>
      </c>
      <c r="G188" s="91"/>
      <c r="H188" s="91"/>
      <c r="I188" s="91"/>
      <c r="J188" s="91"/>
      <c r="K188" s="91"/>
      <c r="L188" s="91"/>
      <c r="M188" s="91"/>
      <c r="N188" s="91"/>
      <c r="O188" s="91"/>
      <c r="P188" s="92">
        <f t="shared" si="22"/>
        <v>892421</v>
      </c>
    </row>
    <row r="189" spans="1:16" ht="48">
      <c r="A189" s="77" t="s">
        <v>624</v>
      </c>
      <c r="B189" s="77" t="s">
        <v>625</v>
      </c>
      <c r="C189" s="77" t="s">
        <v>312</v>
      </c>
      <c r="D189" s="57" t="s">
        <v>604</v>
      </c>
      <c r="E189" s="105">
        <f>E191</f>
        <v>202048</v>
      </c>
      <c r="F189" s="105">
        <f>F191</f>
        <v>202048</v>
      </c>
      <c r="G189" s="106">
        <f>G191</f>
        <v>0</v>
      </c>
      <c r="H189" s="106">
        <f>H191</f>
        <v>0</v>
      </c>
      <c r="I189" s="106">
        <f>I191</f>
        <v>0</v>
      </c>
      <c r="J189" s="91"/>
      <c r="K189" s="91"/>
      <c r="L189" s="91"/>
      <c r="M189" s="91"/>
      <c r="N189" s="91"/>
      <c r="O189" s="91"/>
      <c r="P189" s="92">
        <f t="shared" si="22"/>
        <v>202048</v>
      </c>
    </row>
    <row r="190" spans="1:16" ht="24" hidden="1">
      <c r="A190" s="77"/>
      <c r="B190" s="77"/>
      <c r="C190" s="77"/>
      <c r="D190" s="57" t="s">
        <v>626</v>
      </c>
      <c r="E190" s="106"/>
      <c r="F190" s="106"/>
      <c r="G190" s="106"/>
      <c r="H190" s="106"/>
      <c r="I190" s="106"/>
      <c r="J190" s="91"/>
      <c r="K190" s="91"/>
      <c r="L190" s="91"/>
      <c r="M190" s="91"/>
      <c r="N190" s="91"/>
      <c r="O190" s="91"/>
      <c r="P190" s="92">
        <f aca="true" t="shared" si="41" ref="P190:P201">E190+J190</f>
        <v>0</v>
      </c>
    </row>
    <row r="191" spans="1:16" ht="120" hidden="1">
      <c r="A191" s="77"/>
      <c r="B191" s="77"/>
      <c r="C191" s="77"/>
      <c r="D191" s="57" t="s">
        <v>627</v>
      </c>
      <c r="E191" s="105">
        <f>F191+H191</f>
        <v>202048</v>
      </c>
      <c r="F191" s="105">
        <v>202048</v>
      </c>
      <c r="G191" s="106"/>
      <c r="H191" s="106"/>
      <c r="I191" s="106"/>
      <c r="J191" s="91"/>
      <c r="K191" s="91"/>
      <c r="L191" s="91"/>
      <c r="M191" s="91"/>
      <c r="N191" s="91"/>
      <c r="O191" s="91"/>
      <c r="P191" s="92">
        <f t="shared" si="41"/>
        <v>202048</v>
      </c>
    </row>
    <row r="192" spans="1:16" ht="151.5" customHeight="1">
      <c r="A192" s="77" t="s">
        <v>628</v>
      </c>
      <c r="B192" s="77" t="s">
        <v>629</v>
      </c>
      <c r="C192" s="77" t="s">
        <v>312</v>
      </c>
      <c r="D192" s="57" t="s">
        <v>630</v>
      </c>
      <c r="E192" s="91">
        <f>SUM(E194:E201)</f>
        <v>1178150</v>
      </c>
      <c r="F192" s="91">
        <f>SUM(F194:F201)</f>
        <v>773150</v>
      </c>
      <c r="G192" s="91">
        <f>SUM(G194:G201)</f>
        <v>0</v>
      </c>
      <c r="H192" s="91">
        <f>SUM(H194:H201)</f>
        <v>0</v>
      </c>
      <c r="I192" s="91">
        <f>SUM(I194:I201)</f>
        <v>405000</v>
      </c>
      <c r="J192" s="91"/>
      <c r="K192" s="91"/>
      <c r="L192" s="91"/>
      <c r="M192" s="91"/>
      <c r="N192" s="91"/>
      <c r="O192" s="91"/>
      <c r="P192" s="92">
        <f t="shared" si="41"/>
        <v>1178150</v>
      </c>
    </row>
    <row r="193" spans="1:16" ht="24" hidden="1">
      <c r="A193" s="77"/>
      <c r="B193" s="77"/>
      <c r="C193" s="77"/>
      <c r="D193" s="57" t="s">
        <v>626</v>
      </c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2">
        <f t="shared" si="41"/>
        <v>0</v>
      </c>
    </row>
    <row r="194" spans="1:16" ht="144" hidden="1">
      <c r="A194" s="77"/>
      <c r="B194" s="77"/>
      <c r="C194" s="77"/>
      <c r="D194" s="57" t="s">
        <v>631</v>
      </c>
      <c r="E194" s="91">
        <f aca="true" t="shared" si="42" ref="E194:E200">F194+I194</f>
        <v>300000</v>
      </c>
      <c r="F194" s="91"/>
      <c r="G194" s="91"/>
      <c r="H194" s="91"/>
      <c r="I194" s="91">
        <v>300000</v>
      </c>
      <c r="J194" s="91"/>
      <c r="K194" s="91"/>
      <c r="L194" s="91"/>
      <c r="M194" s="91"/>
      <c r="N194" s="91"/>
      <c r="O194" s="91"/>
      <c r="P194" s="92">
        <f t="shared" si="41"/>
        <v>300000</v>
      </c>
    </row>
    <row r="195" spans="1:16" ht="120" hidden="1">
      <c r="A195" s="77"/>
      <c r="B195" s="77"/>
      <c r="C195" s="77"/>
      <c r="D195" s="56" t="s">
        <v>632</v>
      </c>
      <c r="E195" s="91">
        <f t="shared" si="42"/>
        <v>250000</v>
      </c>
      <c r="F195" s="91">
        <f>120000+20000+50000</f>
        <v>190000</v>
      </c>
      <c r="G195" s="91"/>
      <c r="H195" s="91"/>
      <c r="I195" s="91">
        <v>60000</v>
      </c>
      <c r="J195" s="91"/>
      <c r="K195" s="91"/>
      <c r="L195" s="91"/>
      <c r="M195" s="91"/>
      <c r="N195" s="91"/>
      <c r="O195" s="91"/>
      <c r="P195" s="92">
        <f t="shared" si="41"/>
        <v>250000</v>
      </c>
    </row>
    <row r="196" spans="1:16" ht="288" hidden="1">
      <c r="A196" s="77"/>
      <c r="B196" s="77"/>
      <c r="C196" s="77"/>
      <c r="D196" s="56" t="s">
        <v>633</v>
      </c>
      <c r="E196" s="91">
        <f t="shared" si="42"/>
        <v>150000</v>
      </c>
      <c r="F196" s="91">
        <v>150000</v>
      </c>
      <c r="G196" s="91"/>
      <c r="H196" s="91"/>
      <c r="I196" s="91"/>
      <c r="J196" s="91"/>
      <c r="K196" s="91"/>
      <c r="L196" s="91"/>
      <c r="M196" s="91"/>
      <c r="N196" s="91"/>
      <c r="O196" s="91"/>
      <c r="P196" s="92">
        <f t="shared" si="41"/>
        <v>150000</v>
      </c>
    </row>
    <row r="197" spans="1:16" ht="125.25" customHeight="1" hidden="1">
      <c r="A197" s="77"/>
      <c r="B197" s="77"/>
      <c r="C197" s="77"/>
      <c r="D197" s="56" t="s">
        <v>634</v>
      </c>
      <c r="E197" s="91">
        <f t="shared" si="42"/>
        <v>100000</v>
      </c>
      <c r="F197" s="91">
        <v>100000</v>
      </c>
      <c r="G197" s="91"/>
      <c r="H197" s="91"/>
      <c r="I197" s="91"/>
      <c r="J197" s="91"/>
      <c r="K197" s="91"/>
      <c r="L197" s="91"/>
      <c r="M197" s="91"/>
      <c r="N197" s="91"/>
      <c r="O197" s="91"/>
      <c r="P197" s="92">
        <f t="shared" si="41"/>
        <v>100000</v>
      </c>
    </row>
    <row r="198" spans="1:16" ht="175.5" customHeight="1" hidden="1">
      <c r="A198" s="77"/>
      <c r="B198" s="77"/>
      <c r="C198" s="77"/>
      <c r="D198" s="57" t="s">
        <v>635</v>
      </c>
      <c r="E198" s="91">
        <f t="shared" si="42"/>
        <v>69650</v>
      </c>
      <c r="F198" s="91">
        <v>69650</v>
      </c>
      <c r="G198" s="91"/>
      <c r="H198" s="91"/>
      <c r="I198" s="91"/>
      <c r="J198" s="91"/>
      <c r="K198" s="91"/>
      <c r="L198" s="91"/>
      <c r="M198" s="91"/>
      <c r="N198" s="91"/>
      <c r="O198" s="91"/>
      <c r="P198" s="92">
        <f t="shared" si="41"/>
        <v>69650</v>
      </c>
    </row>
    <row r="199" spans="1:16" ht="96" hidden="1">
      <c r="A199" s="77"/>
      <c r="B199" s="77"/>
      <c r="C199" s="77"/>
      <c r="D199" s="56" t="s">
        <v>636</v>
      </c>
      <c r="E199" s="91">
        <f t="shared" si="42"/>
        <v>48500</v>
      </c>
      <c r="F199" s="91">
        <v>48500</v>
      </c>
      <c r="G199" s="91"/>
      <c r="H199" s="91"/>
      <c r="I199" s="91"/>
      <c r="J199" s="91"/>
      <c r="K199" s="91"/>
      <c r="L199" s="91"/>
      <c r="M199" s="91"/>
      <c r="N199" s="91"/>
      <c r="O199" s="91"/>
      <c r="P199" s="92">
        <f t="shared" si="41"/>
        <v>48500</v>
      </c>
    </row>
    <row r="200" spans="1:16" ht="192" hidden="1">
      <c r="A200" s="76"/>
      <c r="B200" s="76"/>
      <c r="C200" s="76"/>
      <c r="D200" s="57" t="s">
        <v>669</v>
      </c>
      <c r="E200" s="111">
        <f t="shared" si="42"/>
        <v>60000</v>
      </c>
      <c r="F200" s="111">
        <v>15000</v>
      </c>
      <c r="G200" s="111"/>
      <c r="H200" s="111"/>
      <c r="I200" s="111">
        <f>30000+15000</f>
        <v>45000</v>
      </c>
      <c r="J200" s="91"/>
      <c r="K200" s="91"/>
      <c r="L200" s="91"/>
      <c r="M200" s="91"/>
      <c r="N200" s="91"/>
      <c r="O200" s="91"/>
      <c r="P200" s="92">
        <f t="shared" si="41"/>
        <v>60000</v>
      </c>
    </row>
    <row r="201" spans="1:16" ht="87.75" customHeight="1" hidden="1">
      <c r="A201" s="77"/>
      <c r="B201" s="77"/>
      <c r="C201" s="77"/>
      <c r="D201" s="57" t="s">
        <v>668</v>
      </c>
      <c r="E201" s="111">
        <f>F201</f>
        <v>200000</v>
      </c>
      <c r="F201" s="111">
        <v>200000</v>
      </c>
      <c r="G201" s="111"/>
      <c r="H201" s="111"/>
      <c r="I201" s="111"/>
      <c r="J201" s="91"/>
      <c r="K201" s="91"/>
      <c r="L201" s="91"/>
      <c r="M201" s="91"/>
      <c r="N201" s="91"/>
      <c r="O201" s="91"/>
      <c r="P201" s="92">
        <f t="shared" si="41"/>
        <v>200000</v>
      </c>
    </row>
    <row r="202" spans="1:16" ht="23.25">
      <c r="A202" s="87" t="s">
        <v>295</v>
      </c>
      <c r="B202" s="87" t="s">
        <v>295</v>
      </c>
      <c r="C202" s="87" t="s">
        <v>295</v>
      </c>
      <c r="D202" s="88" t="s">
        <v>294</v>
      </c>
      <c r="E202" s="99">
        <f aca="true" t="shared" si="43" ref="E202:O202">E17+E70+E103+E125+E137+E152+E158+E161+E167+E181+E184</f>
        <v>505748229</v>
      </c>
      <c r="F202" s="99">
        <f t="shared" si="43"/>
        <v>505250122</v>
      </c>
      <c r="G202" s="99">
        <f t="shared" si="43"/>
        <v>320595212</v>
      </c>
      <c r="H202" s="99">
        <f t="shared" si="43"/>
        <v>32276964</v>
      </c>
      <c r="I202" s="99">
        <f t="shared" si="43"/>
        <v>405000</v>
      </c>
      <c r="J202" s="99">
        <f t="shared" si="43"/>
        <v>62886498</v>
      </c>
      <c r="K202" s="99">
        <f t="shared" si="43"/>
        <v>52557529</v>
      </c>
      <c r="L202" s="99">
        <f t="shared" si="43"/>
        <v>10048969</v>
      </c>
      <c r="M202" s="99">
        <f t="shared" si="43"/>
        <v>2306953</v>
      </c>
      <c r="N202" s="99">
        <f t="shared" si="43"/>
        <v>73626</v>
      </c>
      <c r="O202" s="99">
        <f t="shared" si="43"/>
        <v>52837529</v>
      </c>
      <c r="P202" s="90">
        <f>E202+J202</f>
        <v>568634727</v>
      </c>
    </row>
    <row r="203" spans="1:16" ht="24">
      <c r="A203" s="47"/>
      <c r="B203" s="47"/>
      <c r="C203" s="47"/>
      <c r="D203" s="48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50"/>
    </row>
    <row r="204" spans="1:16" ht="24">
      <c r="A204" s="47"/>
      <c r="B204" s="47"/>
      <c r="C204" s="47"/>
      <c r="D204" s="48"/>
      <c r="E204" s="49"/>
      <c r="F204" s="109"/>
      <c r="G204" s="49"/>
      <c r="H204" s="49"/>
      <c r="I204" s="49"/>
      <c r="J204" s="49"/>
      <c r="K204" s="49"/>
      <c r="L204" s="49"/>
      <c r="M204" s="49"/>
      <c r="N204" s="49"/>
      <c r="O204" s="49"/>
      <c r="P204" s="50"/>
    </row>
    <row r="205" spans="4:16" ht="23.25">
      <c r="D205" s="17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</row>
    <row r="206" spans="2:16" ht="23.25">
      <c r="B206" s="17"/>
      <c r="C206" s="10" t="s">
        <v>605</v>
      </c>
      <c r="D206" s="43"/>
      <c r="E206" s="17"/>
      <c r="F206" s="110"/>
      <c r="G206" s="43"/>
      <c r="H206" s="43"/>
      <c r="I206" s="43"/>
      <c r="J206" s="17"/>
      <c r="K206" s="110"/>
      <c r="L206" s="17"/>
      <c r="M206" s="43"/>
      <c r="N206" s="10" t="s">
        <v>606</v>
      </c>
      <c r="O206" s="43"/>
      <c r="P206" s="43"/>
    </row>
    <row r="207" spans="3:16" ht="23.25" hidden="1">
      <c r="C207" s="319" t="s">
        <v>273</v>
      </c>
      <c r="D207" s="319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</row>
    <row r="208" spans="3:16" ht="23.25" hidden="1">
      <c r="C208" s="32" t="s">
        <v>274</v>
      </c>
      <c r="D208" s="14"/>
      <c r="E208" s="40">
        <f>E19+E23+E72+E105+E127+E139+E154+E160+E163+E169+E183+E186</f>
        <v>55635115</v>
      </c>
      <c r="F208" s="40"/>
      <c r="G208" s="40">
        <f aca="true" t="shared" si="44" ref="G208:P208">G19+G23+G72+G105+G127+G139+G154+G160+G163+G169+G183+G186</f>
        <v>50523934</v>
      </c>
      <c r="H208" s="40">
        <f t="shared" si="44"/>
        <v>1911170</v>
      </c>
      <c r="I208" s="40">
        <f t="shared" si="44"/>
        <v>0</v>
      </c>
      <c r="J208" s="40">
        <f t="shared" si="44"/>
        <v>394683</v>
      </c>
      <c r="K208" s="40">
        <f t="shared" si="44"/>
        <v>243410</v>
      </c>
      <c r="L208" s="40">
        <f t="shared" si="44"/>
        <v>151273</v>
      </c>
      <c r="M208" s="40">
        <f t="shared" si="44"/>
        <v>18300</v>
      </c>
      <c r="N208" s="40">
        <f t="shared" si="44"/>
        <v>12590</v>
      </c>
      <c r="O208" s="40">
        <f t="shared" si="44"/>
        <v>243410</v>
      </c>
      <c r="P208" s="40">
        <f t="shared" si="44"/>
        <v>56029798</v>
      </c>
    </row>
    <row r="209" spans="3:16" ht="23.25" hidden="1">
      <c r="C209" s="33">
        <v>1000</v>
      </c>
      <c r="D209" s="14"/>
      <c r="E209" s="40">
        <f>E73+E74+E86+E87+E88+E89+E92+E128</f>
        <v>286603955</v>
      </c>
      <c r="F209" s="40"/>
      <c r="G209" s="40">
        <f>G73+G74+G86+G87+G88+G89+G92+G128</f>
        <v>241692536</v>
      </c>
      <c r="H209" s="40">
        <f>H73+H74+H86+H87+H88+H89+H92+H128</f>
        <v>26862745</v>
      </c>
      <c r="I209" s="40">
        <f aca="true" t="shared" si="45" ref="I209:P209">I73+I74+I86+I87+I88+I89+I90+I128</f>
        <v>0</v>
      </c>
      <c r="J209" s="40">
        <f t="shared" si="45"/>
        <v>10415480</v>
      </c>
      <c r="K209" s="40">
        <f t="shared" si="45"/>
        <v>1405802</v>
      </c>
      <c r="L209" s="40">
        <f t="shared" si="45"/>
        <v>9009678</v>
      </c>
      <c r="M209" s="40">
        <f t="shared" si="45"/>
        <v>2270353</v>
      </c>
      <c r="N209" s="40">
        <f t="shared" si="45"/>
        <v>41558</v>
      </c>
      <c r="O209" s="40">
        <f t="shared" si="45"/>
        <v>1405802</v>
      </c>
      <c r="P209" s="40">
        <f t="shared" si="45"/>
        <v>297901499</v>
      </c>
    </row>
    <row r="210" spans="3:16" ht="23.25" hidden="1">
      <c r="C210" s="33">
        <v>2000</v>
      </c>
      <c r="D210" s="14"/>
      <c r="E210" s="40">
        <f>E26+E33+E35</f>
        <v>38232270</v>
      </c>
      <c r="F210" s="40"/>
      <c r="G210" s="40">
        <f aca="true" t="shared" si="46" ref="G210:P210">G26+G33+G35</f>
        <v>0</v>
      </c>
      <c r="H210" s="40">
        <f t="shared" si="46"/>
        <v>0</v>
      </c>
      <c r="I210" s="40">
        <f t="shared" si="46"/>
        <v>0</v>
      </c>
      <c r="J210" s="40">
        <f t="shared" si="46"/>
        <v>6859050</v>
      </c>
      <c r="K210" s="40">
        <f t="shared" si="46"/>
        <v>6859050</v>
      </c>
      <c r="L210" s="40">
        <f t="shared" si="46"/>
        <v>0</v>
      </c>
      <c r="M210" s="40">
        <f t="shared" si="46"/>
        <v>0</v>
      </c>
      <c r="N210" s="40">
        <f t="shared" si="46"/>
        <v>0</v>
      </c>
      <c r="O210" s="40">
        <f t="shared" si="46"/>
        <v>6859050</v>
      </c>
      <c r="P210" s="40">
        <f t="shared" si="46"/>
        <v>45091320</v>
      </c>
    </row>
    <row r="211" spans="3:16" ht="23.25" hidden="1">
      <c r="C211" s="33">
        <v>3000</v>
      </c>
      <c r="D211" s="14"/>
      <c r="E211" s="40">
        <f>E41+E42+E44+E106+E107+E108+E109+E112+E113+E114+E115+E116+E117+E118+E119+E121+E140+E141</f>
        <v>13537736</v>
      </c>
      <c r="F211" s="40"/>
      <c r="G211" s="40">
        <f aca="true" t="shared" si="47" ref="G211:P211">G41+G42+G44+G106+G107+G108+G109+G112+G113+G114+G115+G116+G117+G118+G119+G121+G140+G141</f>
        <v>6686856</v>
      </c>
      <c r="H211" s="40">
        <f t="shared" si="47"/>
        <v>467444</v>
      </c>
      <c r="I211" s="40">
        <f t="shared" si="47"/>
        <v>0</v>
      </c>
      <c r="J211" s="40">
        <f t="shared" si="47"/>
        <v>59400</v>
      </c>
      <c r="K211" s="40">
        <f t="shared" si="47"/>
        <v>0</v>
      </c>
      <c r="L211" s="40">
        <f t="shared" si="47"/>
        <v>59400</v>
      </c>
      <c r="M211" s="40">
        <f t="shared" si="47"/>
        <v>0</v>
      </c>
      <c r="N211" s="40">
        <f t="shared" si="47"/>
        <v>6588</v>
      </c>
      <c r="O211" s="40">
        <f t="shared" si="47"/>
        <v>0</v>
      </c>
      <c r="P211" s="40">
        <f t="shared" si="47"/>
        <v>13597136</v>
      </c>
    </row>
    <row r="212" spans="3:16" ht="23.25" hidden="1">
      <c r="C212" s="33">
        <v>4000</v>
      </c>
      <c r="D212" s="14"/>
      <c r="E212" s="40">
        <f aca="true" t="shared" si="48" ref="E212:P212">E129+E130+E131+E132+E133</f>
        <v>17407983</v>
      </c>
      <c r="F212" s="40"/>
      <c r="G212" s="40">
        <f t="shared" si="48"/>
        <v>13364535</v>
      </c>
      <c r="H212" s="40">
        <f t="shared" si="48"/>
        <v>1916360</v>
      </c>
      <c r="I212" s="40">
        <f t="shared" si="48"/>
        <v>0</v>
      </c>
      <c r="J212" s="40">
        <f t="shared" si="48"/>
        <v>1089860</v>
      </c>
      <c r="K212" s="40">
        <f t="shared" si="48"/>
        <v>907200</v>
      </c>
      <c r="L212" s="40">
        <f t="shared" si="48"/>
        <v>182660</v>
      </c>
      <c r="M212" s="40">
        <f t="shared" si="48"/>
        <v>18300</v>
      </c>
      <c r="N212" s="40">
        <f t="shared" si="48"/>
        <v>12890</v>
      </c>
      <c r="O212" s="40">
        <f t="shared" si="48"/>
        <v>907200</v>
      </c>
      <c r="P212" s="40">
        <f t="shared" si="48"/>
        <v>18497843</v>
      </c>
    </row>
    <row r="213" spans="3:16" ht="23.25" hidden="1">
      <c r="C213" s="33">
        <v>5000</v>
      </c>
      <c r="D213" s="14"/>
      <c r="E213" s="40">
        <f>E97+E143+E144+E145+E146+E147</f>
        <v>12649196</v>
      </c>
      <c r="F213" s="40"/>
      <c r="G213" s="40">
        <f aca="true" t="shared" si="49" ref="G213:P213">G97+G143+G144+G145+G146+G147</f>
        <v>5462119</v>
      </c>
      <c r="H213" s="40">
        <f t="shared" si="49"/>
        <v>409530</v>
      </c>
      <c r="I213" s="40">
        <f t="shared" si="49"/>
        <v>0</v>
      </c>
      <c r="J213" s="40">
        <f t="shared" si="49"/>
        <v>23500</v>
      </c>
      <c r="K213" s="40">
        <f t="shared" si="49"/>
        <v>23500</v>
      </c>
      <c r="L213" s="40">
        <f t="shared" si="49"/>
        <v>0</v>
      </c>
      <c r="M213" s="40">
        <f t="shared" si="49"/>
        <v>0</v>
      </c>
      <c r="N213" s="40">
        <f t="shared" si="49"/>
        <v>0</v>
      </c>
      <c r="O213" s="40">
        <f t="shared" si="49"/>
        <v>23500</v>
      </c>
      <c r="P213" s="40">
        <f t="shared" si="49"/>
        <v>12672696</v>
      </c>
    </row>
    <row r="214" spans="3:16" ht="23.25" hidden="1">
      <c r="C214" s="33">
        <v>6000</v>
      </c>
      <c r="D214" s="14"/>
      <c r="E214" s="40">
        <f>E45+E47+E46+E48+E49+E50+E52+E171+E172+E173+E174</f>
        <v>46190403</v>
      </c>
      <c r="F214" s="40"/>
      <c r="G214" s="40">
        <f aca="true" t="shared" si="50" ref="G214:P214">G45+G47+G46+G48+G49+G50+G52+G171+G172+G173+G174</f>
        <v>0</v>
      </c>
      <c r="H214" s="40">
        <f t="shared" si="50"/>
        <v>638452</v>
      </c>
      <c r="I214" s="40">
        <f t="shared" si="50"/>
        <v>0</v>
      </c>
      <c r="J214" s="40">
        <f t="shared" si="50"/>
        <v>794238</v>
      </c>
      <c r="K214" s="40">
        <f t="shared" si="50"/>
        <v>794238</v>
      </c>
      <c r="L214" s="40">
        <f t="shared" si="50"/>
        <v>0</v>
      </c>
      <c r="M214" s="40">
        <f t="shared" si="50"/>
        <v>0</v>
      </c>
      <c r="N214" s="40">
        <f t="shared" si="50"/>
        <v>0</v>
      </c>
      <c r="O214" s="40">
        <f t="shared" si="50"/>
        <v>794238</v>
      </c>
      <c r="P214" s="40">
        <f t="shared" si="50"/>
        <v>46984641</v>
      </c>
    </row>
    <row r="215" spans="3:16" ht="23.25" hidden="1">
      <c r="C215" s="33">
        <v>7000</v>
      </c>
      <c r="D215" s="14"/>
      <c r="E215" s="40">
        <f>E53+E58+E62+E63+E64+E65+E99+E124+E136+E151+E164+E175+E176+E177+E178+E179+E180+E157</f>
        <v>15418684</v>
      </c>
      <c r="F215" s="40"/>
      <c r="G215" s="40">
        <f aca="true" t="shared" si="51" ref="G215:P215">G53+G58+G62+G63+G64+G65+G99+G124+G136+G151+G164+G175+G176+G177+G178+G179+G180+G157</f>
        <v>358554</v>
      </c>
      <c r="H215" s="40">
        <f t="shared" si="51"/>
        <v>36848</v>
      </c>
      <c r="I215" s="40">
        <f t="shared" si="51"/>
        <v>0</v>
      </c>
      <c r="J215" s="40">
        <f t="shared" si="51"/>
        <v>18898488</v>
      </c>
      <c r="K215" s="40">
        <f t="shared" si="51"/>
        <v>18898488</v>
      </c>
      <c r="L215" s="40">
        <f t="shared" si="51"/>
        <v>0</v>
      </c>
      <c r="M215" s="40">
        <f t="shared" si="51"/>
        <v>0</v>
      </c>
      <c r="N215" s="40">
        <f t="shared" si="51"/>
        <v>0</v>
      </c>
      <c r="O215" s="40">
        <f t="shared" si="51"/>
        <v>18898488</v>
      </c>
      <c r="P215" s="40">
        <f t="shared" si="51"/>
        <v>34317172</v>
      </c>
    </row>
    <row r="216" spans="3:16" ht="23.25" hidden="1">
      <c r="C216" s="33">
        <v>8000</v>
      </c>
      <c r="D216" s="14"/>
      <c r="E216" s="40">
        <f>E66+E67+E68+E69+E166+E187</f>
        <v>6066076</v>
      </c>
      <c r="F216" s="40"/>
      <c r="G216" s="40">
        <f aca="true" t="shared" si="52" ref="G216:P216">G66+G67+G68+G69+G166+G187</f>
        <v>0</v>
      </c>
      <c r="H216" s="40">
        <f t="shared" si="52"/>
        <v>0</v>
      </c>
      <c r="I216" s="40">
        <f t="shared" si="52"/>
        <v>0</v>
      </c>
      <c r="J216" s="40">
        <f t="shared" si="52"/>
        <v>1020215</v>
      </c>
      <c r="K216" s="40">
        <f t="shared" si="52"/>
        <v>94257</v>
      </c>
      <c r="L216" s="40">
        <f t="shared" si="52"/>
        <v>645958</v>
      </c>
      <c r="M216" s="40">
        <f t="shared" si="52"/>
        <v>0</v>
      </c>
      <c r="N216" s="40">
        <f t="shared" si="52"/>
        <v>0</v>
      </c>
      <c r="O216" s="40">
        <f t="shared" si="52"/>
        <v>374257</v>
      </c>
      <c r="P216" s="40">
        <f t="shared" si="52"/>
        <v>7086291</v>
      </c>
    </row>
    <row r="217" spans="3:16" ht="20.25" hidden="1">
      <c r="C217" s="33">
        <v>9000</v>
      </c>
      <c r="D217" s="14" t="s">
        <v>272</v>
      </c>
      <c r="E217" s="41">
        <v>11080290</v>
      </c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>
        <v>11080290</v>
      </c>
    </row>
    <row r="218" spans="3:16" ht="23.25" hidden="1">
      <c r="C218" s="14" t="s">
        <v>288</v>
      </c>
      <c r="D218" s="14"/>
      <c r="E218" s="40">
        <f>SUM(E207:E217)</f>
        <v>502821708</v>
      </c>
      <c r="F218" s="40"/>
      <c r="G218" s="40">
        <f aca="true" t="shared" si="53" ref="G218:P218">SUM(G207:G217)</f>
        <v>318088534</v>
      </c>
      <c r="H218" s="40">
        <f t="shared" si="53"/>
        <v>32242549</v>
      </c>
      <c r="I218" s="40">
        <f t="shared" si="53"/>
        <v>0</v>
      </c>
      <c r="J218" s="40">
        <f t="shared" si="53"/>
        <v>39554914</v>
      </c>
      <c r="K218" s="40">
        <f t="shared" si="53"/>
        <v>29225945</v>
      </c>
      <c r="L218" s="40">
        <f t="shared" si="53"/>
        <v>10048969</v>
      </c>
      <c r="M218" s="40">
        <f t="shared" si="53"/>
        <v>2306953</v>
      </c>
      <c r="N218" s="40">
        <f t="shared" si="53"/>
        <v>73626</v>
      </c>
      <c r="O218" s="40">
        <f t="shared" si="53"/>
        <v>29505945</v>
      </c>
      <c r="P218" s="40">
        <f t="shared" si="53"/>
        <v>543258686</v>
      </c>
    </row>
    <row r="219" ht="23.25" hidden="1"/>
    <row r="220" spans="5:16" ht="23.25" hidden="1">
      <c r="E220" s="10" t="e">
        <f>E202-E218-#REF!</f>
        <v>#REF!</v>
      </c>
      <c r="G220" s="10" t="e">
        <f>G202-G218-#REF!</f>
        <v>#REF!</v>
      </c>
      <c r="H220" s="10" t="e">
        <f>H202-H218-#REF!</f>
        <v>#REF!</v>
      </c>
      <c r="I220" s="10" t="e">
        <f>I202-I218-#REF!</f>
        <v>#REF!</v>
      </c>
      <c r="J220" s="10" t="e">
        <f>J202-J218-#REF!</f>
        <v>#REF!</v>
      </c>
      <c r="K220" s="10" t="e">
        <f>K202-K218-#REF!</f>
        <v>#REF!</v>
      </c>
      <c r="L220" s="10" t="e">
        <f>L202-L218-#REF!</f>
        <v>#REF!</v>
      </c>
      <c r="M220" s="10" t="e">
        <f>M202-M218-#REF!</f>
        <v>#REF!</v>
      </c>
      <c r="N220" s="10" t="e">
        <f>N202-N218-#REF!</f>
        <v>#REF!</v>
      </c>
      <c r="O220" s="10" t="e">
        <f>O202-O218-#REF!</f>
        <v>#REF!</v>
      </c>
      <c r="P220" s="10" t="e">
        <f>P202-P218-#REF!</f>
        <v>#REF!</v>
      </c>
    </row>
    <row r="221" ht="23.25" hidden="1"/>
    <row r="222" ht="23.25" hidden="1"/>
    <row r="223" ht="23.25" hidden="1"/>
    <row r="227" ht="23.25">
      <c r="K227" s="282"/>
    </row>
  </sheetData>
  <sheetProtection/>
  <mergeCells count="19">
    <mergeCell ref="C207:D207"/>
    <mergeCell ref="D12:D15"/>
    <mergeCell ref="A8:P8"/>
    <mergeCell ref="K14:K15"/>
    <mergeCell ref="L14:L15"/>
    <mergeCell ref="O14:O15"/>
    <mergeCell ref="J12:O13"/>
    <mergeCell ref="C12:C15"/>
    <mergeCell ref="F14:F15"/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H1">
      <selection activeCell="N5" sqref="N5"/>
    </sheetView>
  </sheetViews>
  <sheetFormatPr defaultColWidth="9.00390625" defaultRowHeight="12.75"/>
  <cols>
    <col min="1" max="1" width="15.00390625" style="0" bestFit="1" customWidth="1"/>
    <col min="2" max="2" width="13.375" style="0" customWidth="1"/>
    <col min="3" max="3" width="14.375" style="0" customWidth="1"/>
    <col min="4" max="4" width="36.125" style="0" customWidth="1"/>
    <col min="5" max="5" width="10.25390625" style="0" customWidth="1"/>
    <col min="6" max="8" width="22.00390625" style="0" bestFit="1" customWidth="1"/>
    <col min="9" max="9" width="10.375" style="0" customWidth="1"/>
    <col min="10" max="10" width="22.00390625" style="0" bestFit="1" customWidth="1"/>
    <col min="11" max="11" width="21.875" style="0" bestFit="1" customWidth="1"/>
    <col min="12" max="12" width="20.375" style="0" bestFit="1" customWidth="1"/>
    <col min="13" max="13" width="10.75390625" style="0" customWidth="1"/>
    <col min="14" max="14" width="20.375" style="0" bestFit="1" customWidth="1"/>
    <col min="15" max="16" width="21.875" style="0" bestFit="1" customWidth="1"/>
  </cols>
  <sheetData>
    <row r="1" spans="14:15" ht="18.75">
      <c r="N1" s="30" t="s">
        <v>28</v>
      </c>
      <c r="O1" s="8"/>
    </row>
    <row r="2" spans="1:16" ht="18.75">
      <c r="A2" s="238"/>
      <c r="B2" s="238"/>
      <c r="I2" s="261"/>
      <c r="J2" s="2"/>
      <c r="K2" s="2"/>
      <c r="L2" s="2"/>
      <c r="M2" s="2"/>
      <c r="N2" s="46" t="s">
        <v>216</v>
      </c>
      <c r="O2" s="113"/>
      <c r="P2" s="2"/>
    </row>
    <row r="3" spans="14:15" ht="18.75">
      <c r="N3" s="30" t="s">
        <v>170</v>
      </c>
      <c r="O3" s="8"/>
    </row>
    <row r="4" spans="14:15" ht="18.75">
      <c r="N4" s="30" t="s">
        <v>217</v>
      </c>
      <c r="O4" s="8"/>
    </row>
    <row r="7" spans="1:16" ht="23.25" customHeight="1">
      <c r="A7" s="322" t="s">
        <v>171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</row>
    <row r="8" spans="1:16" ht="15.75">
      <c r="A8" s="112">
        <v>21528000000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ht="12.75">
      <c r="A9" s="1" t="s">
        <v>296</v>
      </c>
    </row>
    <row r="10" spans="1:16" ht="21.75" customHeight="1">
      <c r="A10" s="323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</row>
    <row r="11" ht="16.5" customHeight="1">
      <c r="P11" s="6" t="s">
        <v>276</v>
      </c>
    </row>
    <row r="12" spans="1:16" ht="34.5" customHeight="1">
      <c r="A12" s="321" t="s">
        <v>298</v>
      </c>
      <c r="B12" s="321" t="s">
        <v>299</v>
      </c>
      <c r="C12" s="321" t="s">
        <v>287</v>
      </c>
      <c r="D12" s="321" t="s">
        <v>300</v>
      </c>
      <c r="E12" s="321" t="s">
        <v>172</v>
      </c>
      <c r="F12" s="321"/>
      <c r="G12" s="321"/>
      <c r="H12" s="321"/>
      <c r="I12" s="321" t="s">
        <v>173</v>
      </c>
      <c r="J12" s="321"/>
      <c r="K12" s="321"/>
      <c r="L12" s="321"/>
      <c r="M12" s="321" t="s">
        <v>174</v>
      </c>
      <c r="N12" s="321"/>
      <c r="O12" s="321"/>
      <c r="P12" s="321"/>
    </row>
    <row r="13" spans="1:16" ht="12.75">
      <c r="A13" s="321"/>
      <c r="B13" s="321"/>
      <c r="C13" s="321"/>
      <c r="D13" s="321"/>
      <c r="E13" s="321" t="s">
        <v>175</v>
      </c>
      <c r="F13" s="321" t="s">
        <v>176</v>
      </c>
      <c r="G13" s="321"/>
      <c r="H13" s="321" t="s">
        <v>177</v>
      </c>
      <c r="I13" s="321" t="s">
        <v>175</v>
      </c>
      <c r="J13" s="321" t="s">
        <v>176</v>
      </c>
      <c r="K13" s="321"/>
      <c r="L13" s="321" t="s">
        <v>177</v>
      </c>
      <c r="M13" s="321" t="s">
        <v>175</v>
      </c>
      <c r="N13" s="321" t="s">
        <v>176</v>
      </c>
      <c r="O13" s="321"/>
      <c r="P13" s="321" t="s">
        <v>177</v>
      </c>
    </row>
    <row r="14" spans="1:16" ht="42" customHeight="1">
      <c r="A14" s="321"/>
      <c r="B14" s="321"/>
      <c r="C14" s="321"/>
      <c r="D14" s="321"/>
      <c r="E14" s="321"/>
      <c r="F14" s="172" t="s">
        <v>281</v>
      </c>
      <c r="G14" s="172" t="s">
        <v>282</v>
      </c>
      <c r="H14" s="321"/>
      <c r="I14" s="321"/>
      <c r="J14" s="172" t="s">
        <v>281</v>
      </c>
      <c r="K14" s="172" t="s">
        <v>282</v>
      </c>
      <c r="L14" s="321"/>
      <c r="M14" s="321"/>
      <c r="N14" s="172" t="s">
        <v>281</v>
      </c>
      <c r="O14" s="172" t="s">
        <v>282</v>
      </c>
      <c r="P14" s="321"/>
    </row>
    <row r="15" spans="1:16" ht="12.75">
      <c r="A15" s="172">
        <v>1</v>
      </c>
      <c r="B15" s="172">
        <v>2</v>
      </c>
      <c r="C15" s="172">
        <v>3</v>
      </c>
      <c r="D15" s="172">
        <v>4</v>
      </c>
      <c r="E15" s="172">
        <v>5</v>
      </c>
      <c r="F15" s="172">
        <v>6</v>
      </c>
      <c r="G15" s="172">
        <v>7</v>
      </c>
      <c r="H15" s="172">
        <v>8</v>
      </c>
      <c r="I15" s="172">
        <v>9</v>
      </c>
      <c r="J15" s="172">
        <v>10</v>
      </c>
      <c r="K15" s="172">
        <v>11</v>
      </c>
      <c r="L15" s="172">
        <v>12</v>
      </c>
      <c r="M15" s="172">
        <v>13</v>
      </c>
      <c r="N15" s="172">
        <v>14</v>
      </c>
      <c r="O15" s="172">
        <v>15</v>
      </c>
      <c r="P15" s="172">
        <v>16</v>
      </c>
    </row>
    <row r="16" spans="1:16" ht="57.75" customHeight="1">
      <c r="A16" s="156">
        <v>3700000</v>
      </c>
      <c r="B16" s="156"/>
      <c r="C16" s="262"/>
      <c r="D16" s="263" t="s">
        <v>539</v>
      </c>
      <c r="E16" s="264"/>
      <c r="F16" s="265">
        <f>F18</f>
        <v>5044987</v>
      </c>
      <c r="G16" s="265">
        <f>G18</f>
        <v>5044987</v>
      </c>
      <c r="H16" s="265">
        <f>H18</f>
        <v>5044987</v>
      </c>
      <c r="I16" s="266"/>
      <c r="J16" s="265">
        <f>J19</f>
        <v>-1538406</v>
      </c>
      <c r="K16" s="265">
        <f>K19</f>
        <v>-1538406</v>
      </c>
      <c r="L16" s="265">
        <f>J16+I16</f>
        <v>-1538406</v>
      </c>
      <c r="M16" s="266"/>
      <c r="N16" s="265">
        <f>O16</f>
        <v>3506581</v>
      </c>
      <c r="O16" s="265">
        <f>O18+O19</f>
        <v>3506581</v>
      </c>
      <c r="P16" s="265">
        <f>M16+N16</f>
        <v>3506581</v>
      </c>
    </row>
    <row r="17" spans="1:16" ht="54.75" customHeight="1">
      <c r="A17" s="156">
        <v>3710000</v>
      </c>
      <c r="B17" s="156"/>
      <c r="C17" s="262"/>
      <c r="D17" s="263" t="s">
        <v>539</v>
      </c>
      <c r="E17" s="264"/>
      <c r="F17" s="265">
        <f>G17</f>
        <v>5044987</v>
      </c>
      <c r="G17" s="265">
        <f>G18</f>
        <v>5044987</v>
      </c>
      <c r="H17" s="265">
        <f>E17+F17</f>
        <v>5044987</v>
      </c>
      <c r="I17" s="266"/>
      <c r="J17" s="265">
        <f>K17</f>
        <v>-1538406</v>
      </c>
      <c r="K17" s="265">
        <f>K19</f>
        <v>-1538406</v>
      </c>
      <c r="L17" s="265">
        <f>I17+J17</f>
        <v>-1538406</v>
      </c>
      <c r="M17" s="266"/>
      <c r="N17" s="265">
        <f>O17</f>
        <v>3506581</v>
      </c>
      <c r="O17" s="265">
        <f>O18+O19</f>
        <v>3506581</v>
      </c>
      <c r="P17" s="265">
        <f>N17+M17</f>
        <v>3506581</v>
      </c>
    </row>
    <row r="18" spans="1:16" ht="93.75">
      <c r="A18" s="155">
        <v>3718881</v>
      </c>
      <c r="B18" s="155">
        <v>8881</v>
      </c>
      <c r="C18" s="267" t="s">
        <v>371</v>
      </c>
      <c r="D18" s="149" t="s">
        <v>758</v>
      </c>
      <c r="E18" s="264"/>
      <c r="F18" s="266">
        <f>G18</f>
        <v>5044987</v>
      </c>
      <c r="G18" s="266">
        <f>4629062+415925</f>
        <v>5044987</v>
      </c>
      <c r="H18" s="266">
        <f>E18+F18</f>
        <v>5044987</v>
      </c>
      <c r="I18" s="266"/>
      <c r="J18" s="266"/>
      <c r="K18" s="266"/>
      <c r="L18" s="266"/>
      <c r="M18" s="266"/>
      <c r="N18" s="266">
        <f>O18</f>
        <v>5044987</v>
      </c>
      <c r="O18" s="266">
        <f>K18+G18</f>
        <v>5044987</v>
      </c>
      <c r="P18" s="266">
        <f>M18+N18</f>
        <v>5044987</v>
      </c>
    </row>
    <row r="19" spans="1:16" ht="93.75">
      <c r="A19" s="155">
        <v>3718882</v>
      </c>
      <c r="B19" s="155">
        <v>8882</v>
      </c>
      <c r="C19" s="267" t="s">
        <v>371</v>
      </c>
      <c r="D19" s="268" t="s">
        <v>178</v>
      </c>
      <c r="E19" s="264"/>
      <c r="F19" s="269"/>
      <c r="G19" s="269"/>
      <c r="H19" s="269"/>
      <c r="I19" s="269"/>
      <c r="J19" s="266">
        <f>K19</f>
        <v>-1538406</v>
      </c>
      <c r="K19" s="266">
        <v>-1538406</v>
      </c>
      <c r="L19" s="266">
        <f>I19+J19</f>
        <v>-1538406</v>
      </c>
      <c r="M19" s="266">
        <f>I19+E19</f>
        <v>0</v>
      </c>
      <c r="N19" s="266">
        <f>O19</f>
        <v>-1538406</v>
      </c>
      <c r="O19" s="266">
        <f>K19+G19</f>
        <v>-1538406</v>
      </c>
      <c r="P19" s="266">
        <f>M19+N19</f>
        <v>-1538406</v>
      </c>
    </row>
    <row r="20" spans="1:16" ht="18.75">
      <c r="A20" s="264"/>
      <c r="B20" s="180" t="s">
        <v>671</v>
      </c>
      <c r="C20" s="180" t="s">
        <v>671</v>
      </c>
      <c r="D20" s="180" t="s">
        <v>294</v>
      </c>
      <c r="E20" s="264"/>
      <c r="F20" s="265">
        <f>F10+F16</f>
        <v>5044987</v>
      </c>
      <c r="G20" s="265">
        <f>G10+G16</f>
        <v>5044987</v>
      </c>
      <c r="H20" s="265">
        <f>F20+E20</f>
        <v>5044987</v>
      </c>
      <c r="I20" s="265"/>
      <c r="J20" s="265">
        <f>J10+J16</f>
        <v>-1538406</v>
      </c>
      <c r="K20" s="265">
        <f>K10+K16</f>
        <v>-1538406</v>
      </c>
      <c r="L20" s="265">
        <f>J20+I20</f>
        <v>-1538406</v>
      </c>
      <c r="M20" s="265"/>
      <c r="N20" s="265">
        <f>N10+N16</f>
        <v>3506581</v>
      </c>
      <c r="O20" s="265">
        <f>O10+O16</f>
        <v>3506581</v>
      </c>
      <c r="P20" s="265">
        <f>N20+M20</f>
        <v>3506581</v>
      </c>
    </row>
    <row r="21" ht="27.75" customHeight="1"/>
    <row r="22" ht="15.75" customHeight="1"/>
    <row r="23" ht="17.25" customHeight="1"/>
    <row r="24" spans="3:13" ht="18.75">
      <c r="C24" s="30" t="s">
        <v>605</v>
      </c>
      <c r="D24" s="30"/>
      <c r="E24" s="30"/>
      <c r="F24" s="31"/>
      <c r="G24" s="31"/>
      <c r="H24" s="31"/>
      <c r="I24" s="31"/>
      <c r="J24" s="31"/>
      <c r="K24" s="31"/>
      <c r="L24" s="30" t="s">
        <v>606</v>
      </c>
      <c r="M24" s="31"/>
    </row>
    <row r="25" spans="3:13" ht="18" customHeight="1"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</sheetData>
  <sheetProtection/>
  <mergeCells count="18">
    <mergeCell ref="A7:P7"/>
    <mergeCell ref="A10:P10"/>
    <mergeCell ref="A12:A14"/>
    <mergeCell ref="B12:B14"/>
    <mergeCell ref="C12:C14"/>
    <mergeCell ref="D12:D14"/>
    <mergeCell ref="E12:H12"/>
    <mergeCell ref="I12:L12"/>
    <mergeCell ref="M12:P12"/>
    <mergeCell ref="E13:E14"/>
    <mergeCell ref="N13:O13"/>
    <mergeCell ref="P13:P14"/>
    <mergeCell ref="F13:G13"/>
    <mergeCell ref="H13:H14"/>
    <mergeCell ref="I13:I14"/>
    <mergeCell ref="J13:K13"/>
    <mergeCell ref="L13:L14"/>
    <mergeCell ref="M13:M14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H1">
      <selection activeCell="O5" sqref="O5"/>
    </sheetView>
  </sheetViews>
  <sheetFormatPr defaultColWidth="9.00390625" defaultRowHeight="12.75"/>
  <cols>
    <col min="1" max="1" width="15.75390625" style="0" customWidth="1"/>
    <col min="2" max="2" width="25.875" style="0" customWidth="1"/>
    <col min="3" max="3" width="16.75390625" style="0" customWidth="1"/>
    <col min="4" max="4" width="16.625" style="0" customWidth="1"/>
    <col min="5" max="5" width="16.75390625" style="0" customWidth="1"/>
    <col min="6" max="6" width="14.375" style="0" customWidth="1"/>
    <col min="7" max="7" width="13.75390625" style="0" customWidth="1"/>
    <col min="8" max="8" width="11.375" style="0" customWidth="1"/>
    <col min="9" max="9" width="13.00390625" style="0" customWidth="1"/>
    <col min="10" max="10" width="26.875" style="0" customWidth="1"/>
    <col min="11" max="11" width="15.75390625" style="0" hidden="1" customWidth="1"/>
    <col min="12" max="15" width="17.00390625" style="0" customWidth="1"/>
    <col min="16" max="16" width="22.375" style="0" customWidth="1"/>
    <col min="17" max="17" width="25.375" style="0" customWidth="1"/>
    <col min="18" max="18" width="17.375" style="0" customWidth="1"/>
    <col min="19" max="19" width="27.625" style="0" customWidth="1"/>
    <col min="20" max="20" width="15.00390625" style="0" customWidth="1"/>
    <col min="21" max="22" width="21.375" style="0" customWidth="1"/>
    <col min="23" max="23" width="20.625" style="0" customWidth="1"/>
    <col min="24" max="24" width="13.125" style="0" customWidth="1"/>
    <col min="25" max="25" width="11.25390625" style="0" customWidth="1"/>
    <col min="26" max="26" width="31.125" style="0" customWidth="1"/>
    <col min="27" max="27" width="16.25390625" style="0" customWidth="1"/>
    <col min="28" max="28" width="20.75390625" style="0" customWidth="1"/>
    <col min="29" max="29" width="16.00390625" style="0" customWidth="1"/>
    <col min="30" max="30" width="13.00390625" style="0" customWidth="1"/>
    <col min="31" max="31" width="11.875" style="0" customWidth="1"/>
    <col min="32" max="32" width="15.125" style="0" customWidth="1"/>
    <col min="33" max="33" width="13.625" style="0" customWidth="1"/>
  </cols>
  <sheetData>
    <row r="1" spans="1:20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8"/>
      <c r="M1" s="198"/>
      <c r="N1" s="198"/>
      <c r="O1" s="30" t="s">
        <v>263</v>
      </c>
      <c r="Q1" s="30"/>
      <c r="T1" s="30"/>
    </row>
    <row r="2" spans="1:20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8"/>
      <c r="M2" s="198"/>
      <c r="N2" s="198"/>
      <c r="O2" s="46" t="s">
        <v>216</v>
      </c>
      <c r="Q2" s="46"/>
      <c r="T2" s="46"/>
    </row>
    <row r="3" spans="1:20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8"/>
      <c r="M3" s="198"/>
      <c r="N3" s="198"/>
      <c r="O3" s="30" t="s">
        <v>170</v>
      </c>
      <c r="Q3" s="30"/>
      <c r="T3" s="30"/>
    </row>
    <row r="4" spans="1:20" ht="18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8"/>
      <c r="M4" s="198"/>
      <c r="N4" s="198"/>
      <c r="O4" s="30" t="s">
        <v>217</v>
      </c>
      <c r="Q4" s="30"/>
      <c r="T4" s="30"/>
    </row>
    <row r="5" spans="1:20" ht="9.75" customHeight="1">
      <c r="A5" s="19"/>
      <c r="B5" s="19"/>
      <c r="C5" s="19"/>
      <c r="D5" s="199"/>
      <c r="E5" s="199"/>
      <c r="F5" s="199"/>
      <c r="G5" s="199"/>
      <c r="H5" s="199"/>
      <c r="I5" s="199"/>
      <c r="J5" s="199"/>
      <c r="K5" s="199"/>
      <c r="L5" s="8"/>
      <c r="M5" s="8"/>
      <c r="N5" s="8"/>
      <c r="O5" s="8"/>
      <c r="P5" s="8"/>
      <c r="Q5" s="8"/>
      <c r="R5" s="8"/>
      <c r="S5" s="8"/>
      <c r="T5" s="200"/>
    </row>
    <row r="6" spans="2:20" ht="17.25" customHeight="1">
      <c r="B6" s="201"/>
      <c r="C6" s="201"/>
      <c r="D6" s="384" t="s">
        <v>31</v>
      </c>
      <c r="E6" s="384"/>
      <c r="F6" s="384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202"/>
      <c r="R6" s="202"/>
      <c r="S6" s="202"/>
      <c r="T6" s="201"/>
    </row>
    <row r="7" spans="1:20" ht="18.75">
      <c r="A7" s="203">
        <v>21528000000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</row>
    <row r="8" spans="1:20" ht="12.75">
      <c r="A8" s="205" t="s">
        <v>296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</row>
    <row r="9" spans="1:20" ht="13.5" thickBot="1">
      <c r="A9" s="206"/>
      <c r="B9" s="200"/>
      <c r="C9" s="200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</row>
    <row r="10" spans="1:33" ht="30.75" customHeight="1">
      <c r="A10" s="373" t="s">
        <v>32</v>
      </c>
      <c r="B10" s="377" t="s">
        <v>33</v>
      </c>
      <c r="C10" s="381" t="s">
        <v>34</v>
      </c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3"/>
      <c r="U10" s="299" t="s">
        <v>35</v>
      </c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300"/>
    </row>
    <row r="11" spans="1:33" ht="30" customHeight="1">
      <c r="A11" s="374"/>
      <c r="B11" s="378"/>
      <c r="C11" s="362" t="s">
        <v>36</v>
      </c>
      <c r="D11" s="327" t="s">
        <v>37</v>
      </c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28"/>
      <c r="S11" s="329"/>
      <c r="T11" s="364" t="s">
        <v>281</v>
      </c>
      <c r="U11" s="324" t="s">
        <v>37</v>
      </c>
      <c r="V11" s="324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66" t="s">
        <v>281</v>
      </c>
    </row>
    <row r="12" spans="1:33" ht="24" customHeight="1">
      <c r="A12" s="374"/>
      <c r="B12" s="378"/>
      <c r="C12" s="363"/>
      <c r="D12" s="325" t="s">
        <v>38</v>
      </c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6"/>
      <c r="S12" s="208" t="s">
        <v>236</v>
      </c>
      <c r="T12" s="365"/>
      <c r="U12" s="324" t="s">
        <v>38</v>
      </c>
      <c r="V12" s="324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67"/>
    </row>
    <row r="13" spans="1:33" ht="42" customHeight="1">
      <c r="A13" s="375"/>
      <c r="B13" s="379"/>
      <c r="C13" s="313" t="s">
        <v>39</v>
      </c>
      <c r="D13" s="386" t="s">
        <v>40</v>
      </c>
      <c r="E13" s="372" t="s">
        <v>41</v>
      </c>
      <c r="F13" s="372" t="s">
        <v>41</v>
      </c>
      <c r="G13" s="387" t="s">
        <v>42</v>
      </c>
      <c r="H13" s="388"/>
      <c r="I13" s="391" t="s">
        <v>43</v>
      </c>
      <c r="J13" s="303"/>
      <c r="K13" s="303"/>
      <c r="L13" s="392" t="s">
        <v>44</v>
      </c>
      <c r="M13" s="330" t="s">
        <v>257</v>
      </c>
      <c r="N13" s="308"/>
      <c r="O13" s="309"/>
      <c r="P13" s="284" t="s">
        <v>604</v>
      </c>
      <c r="Q13" s="313" t="s">
        <v>233</v>
      </c>
      <c r="R13" s="324" t="s">
        <v>45</v>
      </c>
      <c r="S13" s="285" t="s">
        <v>604</v>
      </c>
      <c r="T13" s="365"/>
      <c r="U13" s="307" t="s">
        <v>257</v>
      </c>
      <c r="V13" s="210" t="s">
        <v>604</v>
      </c>
      <c r="W13" s="315" t="s">
        <v>630</v>
      </c>
      <c r="X13" s="305"/>
      <c r="Y13" s="305"/>
      <c r="Z13" s="305"/>
      <c r="AA13" s="305"/>
      <c r="AB13" s="305"/>
      <c r="AC13" s="305"/>
      <c r="AD13" s="305"/>
      <c r="AE13" s="305"/>
      <c r="AF13" s="305"/>
      <c r="AG13" s="367"/>
    </row>
    <row r="14" spans="1:33" ht="102.75" customHeight="1">
      <c r="A14" s="375"/>
      <c r="B14" s="379"/>
      <c r="C14" s="301"/>
      <c r="D14" s="305"/>
      <c r="E14" s="302"/>
      <c r="F14" s="302"/>
      <c r="G14" s="389"/>
      <c r="H14" s="390"/>
      <c r="I14" s="305"/>
      <c r="J14" s="305"/>
      <c r="K14" s="305"/>
      <c r="L14" s="368"/>
      <c r="M14" s="310"/>
      <c r="N14" s="311"/>
      <c r="O14" s="312"/>
      <c r="P14" s="313" t="s">
        <v>46</v>
      </c>
      <c r="Q14" s="302"/>
      <c r="R14" s="324"/>
      <c r="S14" s="208" t="s">
        <v>237</v>
      </c>
      <c r="T14" s="365"/>
      <c r="U14" s="301"/>
      <c r="V14" s="315" t="s">
        <v>47</v>
      </c>
      <c r="W14" s="324" t="s">
        <v>631</v>
      </c>
      <c r="X14" s="324" t="s">
        <v>632</v>
      </c>
      <c r="Y14" s="324"/>
      <c r="Z14" s="324" t="s">
        <v>633</v>
      </c>
      <c r="AA14" s="324" t="s">
        <v>634</v>
      </c>
      <c r="AB14" s="324" t="s">
        <v>635</v>
      </c>
      <c r="AC14" s="324" t="s">
        <v>636</v>
      </c>
      <c r="AD14" s="324" t="s">
        <v>669</v>
      </c>
      <c r="AE14" s="324"/>
      <c r="AF14" s="324" t="s">
        <v>668</v>
      </c>
      <c r="AG14" s="367"/>
    </row>
    <row r="15" spans="1:33" ht="99" customHeight="1">
      <c r="A15" s="375"/>
      <c r="B15" s="379"/>
      <c r="C15" s="301"/>
      <c r="D15" s="305"/>
      <c r="E15" s="303"/>
      <c r="F15" s="302"/>
      <c r="G15" s="370" t="s">
        <v>48</v>
      </c>
      <c r="H15" s="371"/>
      <c r="I15" s="313" t="s">
        <v>49</v>
      </c>
      <c r="J15" s="313" t="s">
        <v>50</v>
      </c>
      <c r="K15" s="313" t="s">
        <v>51</v>
      </c>
      <c r="L15" s="313" t="s">
        <v>52</v>
      </c>
      <c r="M15" s="327" t="s">
        <v>258</v>
      </c>
      <c r="N15" s="329"/>
      <c r="O15" s="313" t="s">
        <v>261</v>
      </c>
      <c r="P15" s="368"/>
      <c r="Q15" s="302"/>
      <c r="R15" s="324"/>
      <c r="S15" s="313" t="s">
        <v>238</v>
      </c>
      <c r="T15" s="365"/>
      <c r="U15" s="301"/>
      <c r="V15" s="306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67"/>
    </row>
    <row r="16" spans="1:33" ht="185.25" customHeight="1">
      <c r="A16" s="375"/>
      <c r="B16" s="379"/>
      <c r="C16" s="314"/>
      <c r="D16" s="209" t="s">
        <v>234</v>
      </c>
      <c r="E16" s="209" t="s">
        <v>235</v>
      </c>
      <c r="F16" s="303"/>
      <c r="G16" s="208" t="s">
        <v>289</v>
      </c>
      <c r="H16" s="211" t="s">
        <v>291</v>
      </c>
      <c r="I16" s="303"/>
      <c r="J16" s="303"/>
      <c r="K16" s="303"/>
      <c r="L16" s="369"/>
      <c r="M16" s="213" t="s">
        <v>259</v>
      </c>
      <c r="N16" s="209" t="s">
        <v>260</v>
      </c>
      <c r="O16" s="314"/>
      <c r="P16" s="369"/>
      <c r="Q16" s="303"/>
      <c r="R16" s="208" t="s">
        <v>52</v>
      </c>
      <c r="S16" s="303"/>
      <c r="T16" s="365"/>
      <c r="U16" s="314"/>
      <c r="V16" s="306"/>
      <c r="W16" s="208" t="s">
        <v>291</v>
      </c>
      <c r="X16" s="208" t="s">
        <v>289</v>
      </c>
      <c r="Y16" s="208" t="s">
        <v>291</v>
      </c>
      <c r="Z16" s="208" t="s">
        <v>289</v>
      </c>
      <c r="AA16" s="208" t="s">
        <v>289</v>
      </c>
      <c r="AB16" s="208" t="s">
        <v>289</v>
      </c>
      <c r="AC16" s="208" t="s">
        <v>289</v>
      </c>
      <c r="AD16" s="208" t="s">
        <v>289</v>
      </c>
      <c r="AE16" s="208" t="s">
        <v>291</v>
      </c>
      <c r="AF16" s="208" t="s">
        <v>289</v>
      </c>
      <c r="AG16" s="367"/>
    </row>
    <row r="17" spans="1:33" ht="21.75" customHeight="1">
      <c r="A17" s="376"/>
      <c r="B17" s="380"/>
      <c r="C17" s="209">
        <v>41040200</v>
      </c>
      <c r="D17" s="209">
        <v>41051000</v>
      </c>
      <c r="E17" s="327">
        <v>41051100</v>
      </c>
      <c r="F17" s="329"/>
      <c r="G17" s="327">
        <v>41051200</v>
      </c>
      <c r="H17" s="329"/>
      <c r="I17" s="327">
        <v>41051400</v>
      </c>
      <c r="J17" s="328"/>
      <c r="K17" s="212"/>
      <c r="L17" s="213">
        <v>41051500</v>
      </c>
      <c r="M17" s="327">
        <v>41053000</v>
      </c>
      <c r="N17" s="328"/>
      <c r="O17" s="329"/>
      <c r="P17" s="213">
        <v>41053900</v>
      </c>
      <c r="Q17" s="209">
        <v>41054900</v>
      </c>
      <c r="R17" s="208">
        <v>41055000</v>
      </c>
      <c r="S17" s="209">
        <v>41053900</v>
      </c>
      <c r="T17" s="326"/>
      <c r="U17" s="208">
        <v>9620</v>
      </c>
      <c r="V17" s="208">
        <v>9770</v>
      </c>
      <c r="W17" s="327">
        <v>9800</v>
      </c>
      <c r="X17" s="328"/>
      <c r="Y17" s="328"/>
      <c r="Z17" s="328"/>
      <c r="AA17" s="328"/>
      <c r="AB17" s="328"/>
      <c r="AC17" s="328"/>
      <c r="AD17" s="328"/>
      <c r="AE17" s="328"/>
      <c r="AF17" s="329"/>
      <c r="AG17" s="367"/>
    </row>
    <row r="18" spans="1:33" ht="12.75">
      <c r="A18" s="214">
        <v>1</v>
      </c>
      <c r="B18" s="215">
        <v>2</v>
      </c>
      <c r="C18" s="216">
        <v>3</v>
      </c>
      <c r="D18" s="217" t="s">
        <v>53</v>
      </c>
      <c r="E18" s="217" t="s">
        <v>54</v>
      </c>
      <c r="F18" s="217" t="s">
        <v>55</v>
      </c>
      <c r="G18" s="217" t="s">
        <v>56</v>
      </c>
      <c r="H18" s="217" t="s">
        <v>57</v>
      </c>
      <c r="I18" s="217" t="s">
        <v>58</v>
      </c>
      <c r="J18" s="216">
        <v>10</v>
      </c>
      <c r="K18" s="216">
        <v>10</v>
      </c>
      <c r="L18" s="216">
        <v>11</v>
      </c>
      <c r="M18" s="216">
        <v>12</v>
      </c>
      <c r="N18" s="216">
        <v>13</v>
      </c>
      <c r="O18" s="216">
        <v>14</v>
      </c>
      <c r="P18" s="216">
        <v>15</v>
      </c>
      <c r="Q18" s="216">
        <v>16</v>
      </c>
      <c r="R18" s="216">
        <v>17</v>
      </c>
      <c r="S18" s="216">
        <v>18</v>
      </c>
      <c r="T18" s="216">
        <v>19</v>
      </c>
      <c r="U18" s="216">
        <v>20</v>
      </c>
      <c r="V18" s="216">
        <v>21</v>
      </c>
      <c r="W18" s="216">
        <v>22</v>
      </c>
      <c r="X18" s="216">
        <v>23</v>
      </c>
      <c r="Y18" s="216">
        <v>24</v>
      </c>
      <c r="Z18" s="216">
        <v>25</v>
      </c>
      <c r="AA18" s="216">
        <v>26</v>
      </c>
      <c r="AB18" s="216">
        <v>27</v>
      </c>
      <c r="AC18" s="216">
        <v>28</v>
      </c>
      <c r="AD18" s="292">
        <v>29</v>
      </c>
      <c r="AE18" s="216">
        <v>30</v>
      </c>
      <c r="AF18" s="216">
        <v>31</v>
      </c>
      <c r="AG18" s="270">
        <v>32</v>
      </c>
    </row>
    <row r="19" spans="1:35" ht="21" customHeight="1">
      <c r="A19" s="214"/>
      <c r="B19" s="218" t="s">
        <v>59</v>
      </c>
      <c r="C19" s="216"/>
      <c r="D19" s="217"/>
      <c r="E19" s="217"/>
      <c r="F19" s="217"/>
      <c r="G19" s="217"/>
      <c r="H19" s="217"/>
      <c r="I19" s="217"/>
      <c r="J19" s="217"/>
      <c r="K19" s="217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9">
        <v>300000</v>
      </c>
      <c r="X19" s="219">
        <v>190000</v>
      </c>
      <c r="Y19" s="219">
        <v>60000</v>
      </c>
      <c r="Z19" s="219">
        <v>150000</v>
      </c>
      <c r="AA19" s="219">
        <v>100000</v>
      </c>
      <c r="AB19" s="219">
        <v>69650</v>
      </c>
      <c r="AC19" s="219">
        <v>48500</v>
      </c>
      <c r="AD19" s="219">
        <v>15000</v>
      </c>
      <c r="AE19" s="219">
        <v>45000</v>
      </c>
      <c r="AF19" s="219">
        <v>200000</v>
      </c>
      <c r="AG19" s="271">
        <f>SUM(W19:AF19)</f>
        <v>1178150</v>
      </c>
      <c r="AI19" s="257"/>
    </row>
    <row r="20" spans="1:33" ht="24" customHeight="1">
      <c r="A20" s="220">
        <v>21100000000</v>
      </c>
      <c r="B20" s="218" t="s">
        <v>60</v>
      </c>
      <c r="C20" s="219">
        <v>1256800</v>
      </c>
      <c r="D20" s="221">
        <v>844767</v>
      </c>
      <c r="E20" s="221">
        <v>243600</v>
      </c>
      <c r="F20" s="221"/>
      <c r="G20" s="221">
        <f>135900+113250+467964</f>
        <v>717114</v>
      </c>
      <c r="H20" s="221">
        <f>144000+120000-44583</f>
        <v>219417</v>
      </c>
      <c r="I20" s="221">
        <f>1553059+2418</f>
        <v>1555477</v>
      </c>
      <c r="J20" s="221">
        <v>174825</v>
      </c>
      <c r="K20" s="221">
        <f>328856-328856</f>
        <v>0</v>
      </c>
      <c r="L20" s="221">
        <v>432000</v>
      </c>
      <c r="M20" s="221">
        <v>4041430</v>
      </c>
      <c r="N20" s="221">
        <v>1222448</v>
      </c>
      <c r="O20" s="221">
        <v>8200</v>
      </c>
      <c r="P20" s="221">
        <v>147000</v>
      </c>
      <c r="Q20" s="221">
        <v>935007</v>
      </c>
      <c r="R20" s="221">
        <f>1402800+720768</f>
        <v>2123568</v>
      </c>
      <c r="S20" s="221">
        <v>500000</v>
      </c>
      <c r="T20" s="221">
        <f>SUM(C20:S20)-N20</f>
        <v>13199205</v>
      </c>
      <c r="U20" s="291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72"/>
    </row>
    <row r="21" spans="1:33" ht="38.25" customHeight="1">
      <c r="A21" s="222">
        <v>21203701000</v>
      </c>
      <c r="B21" s="223" t="s">
        <v>61</v>
      </c>
      <c r="C21" s="219"/>
      <c r="D21" s="221"/>
      <c r="E21" s="221"/>
      <c r="F21" s="221"/>
      <c r="G21" s="221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19">
        <f>831083+61338</f>
        <v>892421</v>
      </c>
      <c r="V21" s="219">
        <v>202048</v>
      </c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71">
        <f>U21+V21</f>
        <v>1094469</v>
      </c>
    </row>
    <row r="22" spans="1:33" ht="53.25" customHeight="1">
      <c r="A22" s="225">
        <v>21301200000</v>
      </c>
      <c r="B22" s="226" t="s">
        <v>62</v>
      </c>
      <c r="C22" s="227"/>
      <c r="D22" s="228"/>
      <c r="E22" s="228"/>
      <c r="F22" s="228">
        <v>569344</v>
      </c>
      <c r="G22" s="228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>
        <f>SUM(C22:R22)</f>
        <v>569344</v>
      </c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73"/>
    </row>
    <row r="23" spans="1:33" ht="26.25" customHeight="1" thickBot="1">
      <c r="A23" s="230" t="s">
        <v>295</v>
      </c>
      <c r="B23" s="231" t="s">
        <v>294</v>
      </c>
      <c r="C23" s="232">
        <f>SUM(C20:C20)</f>
        <v>1256800</v>
      </c>
      <c r="D23" s="232">
        <f aca="true" t="shared" si="0" ref="D23:S23">D20</f>
        <v>844767</v>
      </c>
      <c r="E23" s="232">
        <f t="shared" si="0"/>
        <v>243600</v>
      </c>
      <c r="F23" s="232">
        <f>F22</f>
        <v>569344</v>
      </c>
      <c r="G23" s="232">
        <f t="shared" si="0"/>
        <v>717114</v>
      </c>
      <c r="H23" s="232">
        <f t="shared" si="0"/>
        <v>219417</v>
      </c>
      <c r="I23" s="232">
        <f t="shared" si="0"/>
        <v>1555477</v>
      </c>
      <c r="J23" s="232">
        <f t="shared" si="0"/>
        <v>174825</v>
      </c>
      <c r="K23" s="232">
        <f t="shared" si="0"/>
        <v>0</v>
      </c>
      <c r="L23" s="232">
        <f t="shared" si="0"/>
        <v>432000</v>
      </c>
      <c r="M23" s="232">
        <f>M20</f>
        <v>4041430</v>
      </c>
      <c r="N23" s="232">
        <f>N20</f>
        <v>1222448</v>
      </c>
      <c r="O23" s="232">
        <f>O20</f>
        <v>8200</v>
      </c>
      <c r="P23" s="232">
        <f t="shared" si="0"/>
        <v>147000</v>
      </c>
      <c r="Q23" s="232">
        <f t="shared" si="0"/>
        <v>935007</v>
      </c>
      <c r="R23" s="232">
        <f t="shared" si="0"/>
        <v>2123568</v>
      </c>
      <c r="S23" s="232">
        <f t="shared" si="0"/>
        <v>500000</v>
      </c>
      <c r="T23" s="232">
        <f>T20+T22</f>
        <v>13768549</v>
      </c>
      <c r="U23" s="233">
        <f>U20+U21</f>
        <v>892421</v>
      </c>
      <c r="V23" s="233">
        <f>V21</f>
        <v>202048</v>
      </c>
      <c r="W23" s="233">
        <f>W19</f>
        <v>300000</v>
      </c>
      <c r="X23" s="233">
        <f aca="true" t="shared" si="1" ref="X23:AF23">X19</f>
        <v>190000</v>
      </c>
      <c r="Y23" s="233">
        <f t="shared" si="1"/>
        <v>60000</v>
      </c>
      <c r="Z23" s="233">
        <f t="shared" si="1"/>
        <v>150000</v>
      </c>
      <c r="AA23" s="233">
        <f t="shared" si="1"/>
        <v>100000</v>
      </c>
      <c r="AB23" s="233">
        <f t="shared" si="1"/>
        <v>69650</v>
      </c>
      <c r="AC23" s="233">
        <f t="shared" si="1"/>
        <v>48500</v>
      </c>
      <c r="AD23" s="233">
        <f t="shared" si="1"/>
        <v>15000</v>
      </c>
      <c r="AE23" s="233">
        <f t="shared" si="1"/>
        <v>45000</v>
      </c>
      <c r="AF23" s="233">
        <f t="shared" si="1"/>
        <v>200000</v>
      </c>
      <c r="AG23" s="274">
        <f>AG19+AG21</f>
        <v>2272619</v>
      </c>
    </row>
    <row r="24" spans="1:33" ht="18.75">
      <c r="A24" s="234"/>
      <c r="B24" s="235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37"/>
    </row>
    <row r="25" spans="1:33" ht="10.5" customHeight="1">
      <c r="A25" s="234"/>
      <c r="B25" s="235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37"/>
    </row>
    <row r="26" spans="1:38" ht="19.5" customHeight="1">
      <c r="A26" s="30"/>
      <c r="B26" s="31"/>
      <c r="N26" s="236"/>
      <c r="O26" s="236"/>
      <c r="P26" s="236"/>
      <c r="Q26" s="236"/>
      <c r="R26" s="236"/>
      <c r="S26" s="236"/>
      <c r="T26" s="236"/>
      <c r="U26" s="203"/>
      <c r="V26" s="203"/>
      <c r="W26" s="203"/>
      <c r="X26" s="203"/>
      <c r="Y26" s="203"/>
      <c r="Z26" s="203"/>
      <c r="AA26" s="203"/>
      <c r="AB26" s="30" t="s">
        <v>605</v>
      </c>
      <c r="AC26" s="31"/>
      <c r="AD26" s="30"/>
      <c r="AF26" s="30" t="s">
        <v>182</v>
      </c>
      <c r="AH26" s="236"/>
      <c r="AI26" s="236"/>
      <c r="AJ26" s="236"/>
      <c r="AL26" s="236"/>
    </row>
    <row r="27" spans="4:27" ht="18.75"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T27" s="30"/>
      <c r="V27" s="30"/>
      <c r="W27" s="31"/>
      <c r="X27" s="31"/>
      <c r="Y27" s="31"/>
      <c r="Z27" s="31"/>
      <c r="AA27" s="31"/>
    </row>
  </sheetData>
  <sheetProtection/>
  <mergeCells count="47">
    <mergeCell ref="D6:P6"/>
    <mergeCell ref="D13:D15"/>
    <mergeCell ref="F13:F16"/>
    <mergeCell ref="J15:J16"/>
    <mergeCell ref="G13:H14"/>
    <mergeCell ref="I13:K14"/>
    <mergeCell ref="L13:L14"/>
    <mergeCell ref="G17:H17"/>
    <mergeCell ref="I17:J17"/>
    <mergeCell ref="E13:E15"/>
    <mergeCell ref="A10:A17"/>
    <mergeCell ref="B10:B17"/>
    <mergeCell ref="C10:T10"/>
    <mergeCell ref="K15:K16"/>
    <mergeCell ref="L15:L16"/>
    <mergeCell ref="C13:C16"/>
    <mergeCell ref="I15:I16"/>
    <mergeCell ref="U10:AG10"/>
    <mergeCell ref="C11:C12"/>
    <mergeCell ref="T11:T17"/>
    <mergeCell ref="AG11:AG17"/>
    <mergeCell ref="R13:R15"/>
    <mergeCell ref="P14:P16"/>
    <mergeCell ref="G15:H15"/>
    <mergeCell ref="W17:AF17"/>
    <mergeCell ref="AB14:AB15"/>
    <mergeCell ref="AC14:AC15"/>
    <mergeCell ref="AD14:AE15"/>
    <mergeCell ref="AF14:AF15"/>
    <mergeCell ref="Q13:Q16"/>
    <mergeCell ref="D11:S11"/>
    <mergeCell ref="S15:S16"/>
    <mergeCell ref="U11:AF11"/>
    <mergeCell ref="U12:AF12"/>
    <mergeCell ref="W13:AF13"/>
    <mergeCell ref="W14:W15"/>
    <mergeCell ref="X14:Y15"/>
    <mergeCell ref="Z14:Z15"/>
    <mergeCell ref="AA14:AA15"/>
    <mergeCell ref="D12:R12"/>
    <mergeCell ref="M17:O17"/>
    <mergeCell ref="M13:O14"/>
    <mergeCell ref="M15:N15"/>
    <mergeCell ref="O15:O16"/>
    <mergeCell ref="V14:V16"/>
    <mergeCell ref="U13:U16"/>
    <mergeCell ref="E17:F1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7"/>
  <sheetViews>
    <sheetView zoomScale="80" zoomScaleNormal="80" zoomScalePageLayoutView="0" workbookViewId="0" topLeftCell="A1">
      <selection activeCell="H5" sqref="H5"/>
    </sheetView>
  </sheetViews>
  <sheetFormatPr defaultColWidth="9.00390625" defaultRowHeight="12.75"/>
  <cols>
    <col min="1" max="1" width="15.625" style="0" customWidth="1"/>
    <col min="2" max="2" width="12.625" style="0" customWidth="1"/>
    <col min="3" max="3" width="16.125" style="0" customWidth="1"/>
    <col min="4" max="4" width="39.00390625" style="0" customWidth="1"/>
    <col min="5" max="5" width="74.125" style="0" customWidth="1"/>
    <col min="6" max="6" width="15.00390625" style="0" customWidth="1"/>
    <col min="7" max="7" width="14.125" style="0" customWidth="1"/>
    <col min="8" max="8" width="14.00390625" style="0" customWidth="1"/>
    <col min="9" max="9" width="15.125" style="0" customWidth="1"/>
    <col min="10" max="10" width="13.75390625" style="0" customWidth="1"/>
  </cols>
  <sheetData>
    <row r="1" spans="8:10" ht="18.75">
      <c r="H1" s="30" t="s">
        <v>179</v>
      </c>
      <c r="I1" s="30"/>
      <c r="J1" s="30"/>
    </row>
    <row r="2" spans="8:10" ht="18.75">
      <c r="H2" s="46" t="s">
        <v>216</v>
      </c>
      <c r="I2" s="46"/>
      <c r="J2" s="30"/>
    </row>
    <row r="3" spans="8:10" ht="18.75">
      <c r="H3" s="30" t="s">
        <v>170</v>
      </c>
      <c r="I3" s="30"/>
      <c r="J3" s="30"/>
    </row>
    <row r="4" spans="8:10" ht="18.75">
      <c r="H4" s="30" t="s">
        <v>217</v>
      </c>
      <c r="I4" s="30"/>
      <c r="J4" s="30"/>
    </row>
    <row r="6" spans="1:10" ht="12.75">
      <c r="A6" s="400" t="s">
        <v>763</v>
      </c>
      <c r="B6" s="400"/>
      <c r="C6" s="400"/>
      <c r="D6" s="400"/>
      <c r="E6" s="400"/>
      <c r="F6" s="400"/>
      <c r="G6" s="400"/>
      <c r="H6" s="400"/>
      <c r="I6" s="400"/>
      <c r="J6" s="400"/>
    </row>
    <row r="7" spans="1:10" ht="36.75" customHeight="1">
      <c r="A7" s="400"/>
      <c r="B7" s="400"/>
      <c r="C7" s="400"/>
      <c r="D7" s="400"/>
      <c r="E7" s="400"/>
      <c r="F7" s="400"/>
      <c r="G7" s="400"/>
      <c r="H7" s="400"/>
      <c r="I7" s="400"/>
      <c r="J7" s="400"/>
    </row>
    <row r="8" spans="1:10" ht="15.75" customHeight="1">
      <c r="A8" s="295" t="s">
        <v>271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5.75" customHeight="1">
      <c r="A9" s="182" t="s">
        <v>296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" customHeight="1">
      <c r="A10" s="182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335" t="s">
        <v>298</v>
      </c>
      <c r="B11" s="335" t="s">
        <v>299</v>
      </c>
      <c r="C11" s="335" t="s">
        <v>287</v>
      </c>
      <c r="D11" s="335" t="s">
        <v>764</v>
      </c>
      <c r="E11" s="335" t="s">
        <v>765</v>
      </c>
      <c r="F11" s="335" t="s">
        <v>766</v>
      </c>
      <c r="G11" s="335" t="s">
        <v>767</v>
      </c>
      <c r="H11" s="335" t="s">
        <v>768</v>
      </c>
      <c r="I11" s="335" t="s">
        <v>769</v>
      </c>
      <c r="J11" s="335" t="s">
        <v>770</v>
      </c>
    </row>
    <row r="12" spans="1:10" ht="27.75" customHeight="1">
      <c r="A12" s="335"/>
      <c r="B12" s="335"/>
      <c r="C12" s="335"/>
      <c r="D12" s="335"/>
      <c r="E12" s="335"/>
      <c r="F12" s="335"/>
      <c r="G12" s="335"/>
      <c r="H12" s="335"/>
      <c r="I12" s="335"/>
      <c r="J12" s="335"/>
    </row>
    <row r="13" spans="1:10" ht="27.75" customHeight="1">
      <c r="A13" s="335"/>
      <c r="B13" s="335"/>
      <c r="C13" s="335"/>
      <c r="D13" s="335"/>
      <c r="E13" s="335"/>
      <c r="F13" s="335"/>
      <c r="G13" s="335"/>
      <c r="H13" s="335"/>
      <c r="I13" s="335"/>
      <c r="J13" s="335"/>
    </row>
    <row r="14" spans="1:10" ht="27.75" customHeight="1">
      <c r="A14" s="335"/>
      <c r="B14" s="335"/>
      <c r="C14" s="335"/>
      <c r="D14" s="335"/>
      <c r="E14" s="335"/>
      <c r="F14" s="335"/>
      <c r="G14" s="335"/>
      <c r="H14" s="335"/>
      <c r="I14" s="335"/>
      <c r="J14" s="335"/>
    </row>
    <row r="15" spans="1:10" ht="37.5" customHeight="1">
      <c r="A15" s="335"/>
      <c r="B15" s="335"/>
      <c r="C15" s="335"/>
      <c r="D15" s="335"/>
      <c r="E15" s="335"/>
      <c r="F15" s="335"/>
      <c r="G15" s="335"/>
      <c r="H15" s="335"/>
      <c r="I15" s="335"/>
      <c r="J15" s="335"/>
    </row>
    <row r="16" spans="1:10" ht="15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52">
        <v>10</v>
      </c>
    </row>
    <row r="17" spans="1:10" ht="45.75" customHeight="1">
      <c r="A17" s="153" t="s">
        <v>301</v>
      </c>
      <c r="B17" s="153"/>
      <c r="C17" s="153"/>
      <c r="D17" s="154" t="s">
        <v>302</v>
      </c>
      <c r="E17" s="155"/>
      <c r="F17" s="155"/>
      <c r="G17" s="155"/>
      <c r="H17" s="155"/>
      <c r="I17" s="156">
        <f>I18</f>
        <v>11025762</v>
      </c>
      <c r="J17" s="155"/>
    </row>
    <row r="18" spans="1:10" ht="45" customHeight="1">
      <c r="A18" s="153" t="s">
        <v>303</v>
      </c>
      <c r="B18" s="153"/>
      <c r="C18" s="153"/>
      <c r="D18" s="154" t="s">
        <v>302</v>
      </c>
      <c r="E18" s="155"/>
      <c r="F18" s="155"/>
      <c r="G18" s="155"/>
      <c r="H18" s="155"/>
      <c r="I18" s="156">
        <f>SUM(I19:I51)</f>
        <v>11025762</v>
      </c>
      <c r="J18" s="155"/>
    </row>
    <row r="19" spans="1:10" ht="45" customHeight="1">
      <c r="A19" s="396" t="s">
        <v>623</v>
      </c>
      <c r="B19" s="396" t="s">
        <v>572</v>
      </c>
      <c r="C19" s="396" t="s">
        <v>370</v>
      </c>
      <c r="D19" s="393" t="s">
        <v>573</v>
      </c>
      <c r="E19" s="158" t="s">
        <v>190</v>
      </c>
      <c r="F19" s="155" t="s">
        <v>778</v>
      </c>
      <c r="G19" s="155">
        <v>841229</v>
      </c>
      <c r="H19" s="155">
        <v>51.7</v>
      </c>
      <c r="I19" s="155">
        <f>401229-13268</f>
        <v>387961</v>
      </c>
      <c r="J19" s="159">
        <v>100</v>
      </c>
    </row>
    <row r="20" spans="1:10" ht="58.5" customHeight="1">
      <c r="A20" s="365"/>
      <c r="B20" s="365"/>
      <c r="C20" s="365"/>
      <c r="D20" s="301"/>
      <c r="E20" s="158" t="s">
        <v>192</v>
      </c>
      <c r="F20" s="155">
        <v>2020</v>
      </c>
      <c r="G20" s="155">
        <v>1489850</v>
      </c>
      <c r="H20" s="155"/>
      <c r="I20" s="155">
        <v>1489850</v>
      </c>
      <c r="J20" s="159">
        <v>100</v>
      </c>
    </row>
    <row r="21" spans="1:10" ht="71.25" customHeight="1">
      <c r="A21" s="365"/>
      <c r="B21" s="365"/>
      <c r="C21" s="365"/>
      <c r="D21" s="301"/>
      <c r="E21" s="158" t="s">
        <v>183</v>
      </c>
      <c r="F21" s="155">
        <v>2020</v>
      </c>
      <c r="G21" s="155">
        <v>290395</v>
      </c>
      <c r="H21" s="155"/>
      <c r="I21" s="155">
        <v>290395</v>
      </c>
      <c r="J21" s="159">
        <v>100</v>
      </c>
    </row>
    <row r="22" spans="1:10" ht="61.5" customHeight="1">
      <c r="A22" s="365"/>
      <c r="B22" s="365"/>
      <c r="C22" s="365"/>
      <c r="D22" s="301"/>
      <c r="E22" s="158" t="s">
        <v>184</v>
      </c>
      <c r="F22" s="155">
        <v>2020</v>
      </c>
      <c r="G22" s="155">
        <v>274391</v>
      </c>
      <c r="H22" s="155"/>
      <c r="I22" s="155">
        <v>274391</v>
      </c>
      <c r="J22" s="159">
        <v>100</v>
      </c>
    </row>
    <row r="23" spans="1:10" ht="66" customHeight="1">
      <c r="A23" s="365"/>
      <c r="B23" s="365"/>
      <c r="C23" s="365"/>
      <c r="D23" s="301"/>
      <c r="E23" s="158" t="s">
        <v>185</v>
      </c>
      <c r="F23" s="155">
        <v>2020</v>
      </c>
      <c r="G23" s="155">
        <v>234402</v>
      </c>
      <c r="H23" s="155"/>
      <c r="I23" s="155">
        <v>234402</v>
      </c>
      <c r="J23" s="159">
        <v>100</v>
      </c>
    </row>
    <row r="24" spans="1:10" ht="58.5" customHeight="1">
      <c r="A24" s="326"/>
      <c r="B24" s="326"/>
      <c r="C24" s="326"/>
      <c r="D24" s="314"/>
      <c r="E24" s="158" t="s">
        <v>189</v>
      </c>
      <c r="F24" s="155">
        <v>2020</v>
      </c>
      <c r="G24" s="155">
        <v>1061729</v>
      </c>
      <c r="H24" s="155"/>
      <c r="I24" s="155">
        <v>48086</v>
      </c>
      <c r="J24" s="159">
        <f>I24/G24*100</f>
        <v>4.529027652065641</v>
      </c>
    </row>
    <row r="25" spans="1:10" ht="60" customHeight="1">
      <c r="A25" s="396" t="s">
        <v>654</v>
      </c>
      <c r="B25" s="396" t="s">
        <v>655</v>
      </c>
      <c r="C25" s="396" t="s">
        <v>370</v>
      </c>
      <c r="D25" s="393" t="s">
        <v>656</v>
      </c>
      <c r="E25" s="158" t="s">
        <v>193</v>
      </c>
      <c r="F25" s="155">
        <v>2020</v>
      </c>
      <c r="G25" s="155">
        <v>205558</v>
      </c>
      <c r="H25" s="155"/>
      <c r="I25" s="155">
        <v>182560</v>
      </c>
      <c r="J25" s="159">
        <f>I25/G25*100</f>
        <v>88.81191683125931</v>
      </c>
    </row>
    <row r="26" spans="1:10" ht="46.5" customHeight="1">
      <c r="A26" s="365"/>
      <c r="B26" s="365"/>
      <c r="C26" s="365"/>
      <c r="D26" s="301"/>
      <c r="E26" s="158" t="s">
        <v>194</v>
      </c>
      <c r="F26" s="155" t="s">
        <v>778</v>
      </c>
      <c r="G26" s="155">
        <v>1482318</v>
      </c>
      <c r="H26" s="155">
        <v>53.9</v>
      </c>
      <c r="I26" s="155">
        <v>682318</v>
      </c>
      <c r="J26" s="159">
        <v>100</v>
      </c>
    </row>
    <row r="27" spans="1:10" ht="46.5" customHeight="1">
      <c r="A27" s="365"/>
      <c r="B27" s="365"/>
      <c r="C27" s="365"/>
      <c r="D27" s="301"/>
      <c r="E27" s="158" t="s">
        <v>195</v>
      </c>
      <c r="F27" s="155">
        <v>2020</v>
      </c>
      <c r="G27" s="155">
        <v>245255</v>
      </c>
      <c r="H27" s="155"/>
      <c r="I27" s="155">
        <v>245255</v>
      </c>
      <c r="J27" s="159">
        <v>100</v>
      </c>
    </row>
    <row r="28" spans="1:10" ht="51" customHeight="1">
      <c r="A28" s="365"/>
      <c r="B28" s="365"/>
      <c r="C28" s="365"/>
      <c r="D28" s="301"/>
      <c r="E28" s="158" t="s">
        <v>196</v>
      </c>
      <c r="F28" s="155">
        <v>2020</v>
      </c>
      <c r="G28" s="155">
        <v>272399</v>
      </c>
      <c r="H28" s="155"/>
      <c r="I28" s="155">
        <v>272399</v>
      </c>
      <c r="J28" s="159">
        <v>100</v>
      </c>
    </row>
    <row r="29" spans="1:10" ht="60" customHeight="1">
      <c r="A29" s="365"/>
      <c r="B29" s="365"/>
      <c r="C29" s="365"/>
      <c r="D29" s="301"/>
      <c r="E29" s="158" t="s">
        <v>197</v>
      </c>
      <c r="F29" s="155">
        <v>2020</v>
      </c>
      <c r="G29" s="155">
        <v>238931</v>
      </c>
      <c r="H29" s="155"/>
      <c r="I29" s="155">
        <v>238931</v>
      </c>
      <c r="J29" s="159">
        <v>100</v>
      </c>
    </row>
    <row r="30" spans="1:10" ht="46.5" customHeight="1">
      <c r="A30" s="365"/>
      <c r="B30" s="365"/>
      <c r="C30" s="365"/>
      <c r="D30" s="301"/>
      <c r="E30" s="158" t="s">
        <v>198</v>
      </c>
      <c r="F30" s="155">
        <v>2020</v>
      </c>
      <c r="G30" s="155">
        <v>250000</v>
      </c>
      <c r="H30" s="155"/>
      <c r="I30" s="155">
        <v>250000</v>
      </c>
      <c r="J30" s="159">
        <v>100</v>
      </c>
    </row>
    <row r="31" spans="1:10" ht="51" customHeight="1">
      <c r="A31" s="326"/>
      <c r="B31" s="326"/>
      <c r="C31" s="326"/>
      <c r="D31" s="314"/>
      <c r="E31" s="158" t="s">
        <v>771</v>
      </c>
      <c r="F31" s="155">
        <v>2020</v>
      </c>
      <c r="G31" s="155">
        <v>200000</v>
      </c>
      <c r="H31" s="155"/>
      <c r="I31" s="155">
        <v>200000</v>
      </c>
      <c r="J31" s="159">
        <v>100</v>
      </c>
    </row>
    <row r="32" spans="1:10" ht="51" customHeight="1">
      <c r="A32" s="298" t="s">
        <v>74</v>
      </c>
      <c r="B32" s="298" t="s">
        <v>619</v>
      </c>
      <c r="C32" s="148" t="s">
        <v>370</v>
      </c>
      <c r="D32" s="174" t="s">
        <v>620</v>
      </c>
      <c r="E32" s="158" t="s">
        <v>790</v>
      </c>
      <c r="F32" s="155">
        <v>2020</v>
      </c>
      <c r="G32" s="155">
        <v>48600</v>
      </c>
      <c r="H32" s="155"/>
      <c r="I32" s="155">
        <v>48600</v>
      </c>
      <c r="J32" s="159">
        <v>100</v>
      </c>
    </row>
    <row r="33" spans="1:10" ht="66" customHeight="1">
      <c r="A33" s="395" t="s">
        <v>608</v>
      </c>
      <c r="B33" s="395" t="s">
        <v>527</v>
      </c>
      <c r="C33" s="395" t="s">
        <v>370</v>
      </c>
      <c r="D33" s="393" t="s">
        <v>772</v>
      </c>
      <c r="E33" s="158" t="s">
        <v>199</v>
      </c>
      <c r="F33" s="161">
        <v>2020</v>
      </c>
      <c r="G33" s="162">
        <v>1035724</v>
      </c>
      <c r="H33" s="155"/>
      <c r="I33" s="155">
        <v>1035724</v>
      </c>
      <c r="J33" s="159">
        <v>100</v>
      </c>
    </row>
    <row r="34" spans="1:10" ht="66" customHeight="1">
      <c r="A34" s="397"/>
      <c r="B34" s="397"/>
      <c r="C34" s="397"/>
      <c r="D34" s="394"/>
      <c r="E34" s="158" t="s">
        <v>202</v>
      </c>
      <c r="F34" s="161">
        <v>2020</v>
      </c>
      <c r="G34" s="162">
        <v>747973</v>
      </c>
      <c r="H34" s="155"/>
      <c r="I34" s="155">
        <v>747973</v>
      </c>
      <c r="J34" s="159">
        <v>100</v>
      </c>
    </row>
    <row r="35" spans="1:10" ht="18.75">
      <c r="A35" s="397"/>
      <c r="B35" s="397"/>
      <c r="C35" s="397"/>
      <c r="D35" s="394"/>
      <c r="E35" s="158" t="s">
        <v>200</v>
      </c>
      <c r="F35" s="161">
        <v>2020</v>
      </c>
      <c r="G35" s="162">
        <v>284098</v>
      </c>
      <c r="H35" s="155"/>
      <c r="I35" s="155">
        <v>284098</v>
      </c>
      <c r="J35" s="159">
        <v>100</v>
      </c>
    </row>
    <row r="36" spans="1:10" ht="37.5">
      <c r="A36" s="397"/>
      <c r="B36" s="397"/>
      <c r="C36" s="397"/>
      <c r="D36" s="394"/>
      <c r="E36" s="158" t="s">
        <v>201</v>
      </c>
      <c r="F36" s="161">
        <v>2020</v>
      </c>
      <c r="G36" s="162">
        <v>138312</v>
      </c>
      <c r="H36" s="155"/>
      <c r="I36" s="155">
        <f>138312-33314</f>
        <v>104998</v>
      </c>
      <c r="J36" s="159">
        <f>I36/G36*100</f>
        <v>75.9138758748337</v>
      </c>
    </row>
    <row r="37" spans="1:10" ht="18.75">
      <c r="A37" s="397"/>
      <c r="B37" s="397"/>
      <c r="C37" s="397"/>
      <c r="D37" s="394"/>
      <c r="E37" s="158" t="s">
        <v>251</v>
      </c>
      <c r="F37" s="161">
        <v>2020</v>
      </c>
      <c r="G37" s="162">
        <v>33314</v>
      </c>
      <c r="H37" s="155"/>
      <c r="I37" s="155">
        <v>33314</v>
      </c>
      <c r="J37" s="159">
        <v>100</v>
      </c>
    </row>
    <row r="38" spans="1:10" ht="18.75">
      <c r="A38" s="397"/>
      <c r="B38" s="397"/>
      <c r="C38" s="397"/>
      <c r="D38" s="394"/>
      <c r="E38" s="158" t="s">
        <v>774</v>
      </c>
      <c r="F38" s="161">
        <v>2020</v>
      </c>
      <c r="G38" s="162">
        <v>53021</v>
      </c>
      <c r="H38" s="155"/>
      <c r="I38" s="155">
        <v>53021</v>
      </c>
      <c r="J38" s="159">
        <v>100</v>
      </c>
    </row>
    <row r="39" spans="1:10" ht="66" customHeight="1">
      <c r="A39" s="397"/>
      <c r="B39" s="397"/>
      <c r="C39" s="397"/>
      <c r="D39" s="394"/>
      <c r="E39" s="158" t="s">
        <v>773</v>
      </c>
      <c r="F39" s="161">
        <v>2020</v>
      </c>
      <c r="G39" s="162">
        <v>57727</v>
      </c>
      <c r="H39" s="155"/>
      <c r="I39" s="155">
        <v>57727</v>
      </c>
      <c r="J39" s="159">
        <v>100</v>
      </c>
    </row>
    <row r="40" spans="1:10" ht="48" customHeight="1">
      <c r="A40" s="397"/>
      <c r="B40" s="397"/>
      <c r="C40" s="397"/>
      <c r="D40" s="394"/>
      <c r="E40" s="158" t="s">
        <v>775</v>
      </c>
      <c r="F40" s="161">
        <v>2020</v>
      </c>
      <c r="G40" s="162">
        <f>60000+26000</f>
        <v>86000</v>
      </c>
      <c r="H40" s="155"/>
      <c r="I40" s="155">
        <f>60000+26000</f>
        <v>86000</v>
      </c>
      <c r="J40" s="159">
        <v>100</v>
      </c>
    </row>
    <row r="41" spans="1:10" ht="42.75" customHeight="1">
      <c r="A41" s="397"/>
      <c r="B41" s="397"/>
      <c r="C41" s="397"/>
      <c r="D41" s="394"/>
      <c r="E41" s="158" t="s">
        <v>776</v>
      </c>
      <c r="F41" s="161">
        <v>2020</v>
      </c>
      <c r="G41" s="162">
        <v>300000</v>
      </c>
      <c r="H41" s="155"/>
      <c r="I41" s="155">
        <v>300000</v>
      </c>
      <c r="J41" s="159">
        <v>100</v>
      </c>
    </row>
    <row r="42" spans="1:10" ht="39.75" customHeight="1">
      <c r="A42" s="303"/>
      <c r="B42" s="398"/>
      <c r="C42" s="303"/>
      <c r="D42" s="314"/>
      <c r="E42" s="163" t="s">
        <v>777</v>
      </c>
      <c r="F42" s="161" t="s">
        <v>778</v>
      </c>
      <c r="G42" s="162">
        <v>1343074</v>
      </c>
      <c r="H42" s="155">
        <v>73.4</v>
      </c>
      <c r="I42" s="155">
        <v>236684</v>
      </c>
      <c r="J42" s="159">
        <v>91</v>
      </c>
    </row>
    <row r="43" spans="1:10" ht="72" customHeight="1" hidden="1">
      <c r="A43" s="293"/>
      <c r="B43" s="293"/>
      <c r="C43" s="293"/>
      <c r="D43" s="293"/>
      <c r="E43" s="158" t="s">
        <v>779</v>
      </c>
      <c r="F43" s="155">
        <v>2020</v>
      </c>
      <c r="G43" s="164">
        <v>12247008</v>
      </c>
      <c r="H43" s="155"/>
      <c r="I43" s="155">
        <f>1204337-1204337</f>
        <v>0</v>
      </c>
      <c r="J43" s="159">
        <v>9.8</v>
      </c>
    </row>
    <row r="44" spans="1:10" ht="74.25" customHeight="1" hidden="1">
      <c r="A44" s="294"/>
      <c r="B44" s="294"/>
      <c r="C44" s="294"/>
      <c r="D44" s="294"/>
      <c r="E44" s="158" t="s">
        <v>780</v>
      </c>
      <c r="F44" s="155" t="s">
        <v>781</v>
      </c>
      <c r="G44" s="155">
        <v>6228838</v>
      </c>
      <c r="H44" s="155">
        <v>1.1</v>
      </c>
      <c r="I44" s="155">
        <f>200000-200000</f>
        <v>0</v>
      </c>
      <c r="J44" s="159">
        <v>4.3</v>
      </c>
    </row>
    <row r="45" spans="1:11" ht="81" customHeight="1">
      <c r="A45" s="395" t="s">
        <v>584</v>
      </c>
      <c r="B45" s="395" t="s">
        <v>582</v>
      </c>
      <c r="C45" s="396" t="s">
        <v>371</v>
      </c>
      <c r="D45" s="393" t="s">
        <v>583</v>
      </c>
      <c r="E45" s="163" t="s">
        <v>782</v>
      </c>
      <c r="F45" s="161" t="s">
        <v>783</v>
      </c>
      <c r="G45" s="165">
        <v>20691542</v>
      </c>
      <c r="H45" s="166">
        <v>6.7</v>
      </c>
      <c r="I45" s="162">
        <f>1306707-190000</f>
        <v>1116707</v>
      </c>
      <c r="J45" s="159">
        <v>12.1</v>
      </c>
      <c r="K45" s="167"/>
    </row>
    <row r="46" spans="1:10" ht="65.25" customHeight="1" hidden="1">
      <c r="A46" s="302"/>
      <c r="B46" s="302"/>
      <c r="C46" s="365"/>
      <c r="D46" s="301"/>
      <c r="E46" s="155"/>
      <c r="F46" s="155"/>
      <c r="G46" s="155"/>
      <c r="H46" s="155"/>
      <c r="I46" s="156">
        <f>I47</f>
        <v>0</v>
      </c>
      <c r="J46" s="155"/>
    </row>
    <row r="47" spans="1:10" ht="80.25" customHeight="1" hidden="1">
      <c r="A47" s="302"/>
      <c r="B47" s="302"/>
      <c r="C47" s="365"/>
      <c r="D47" s="301"/>
      <c r="E47" s="155"/>
      <c r="F47" s="155"/>
      <c r="G47" s="155"/>
      <c r="H47" s="155"/>
      <c r="I47" s="156">
        <f>SUM(I48:I49)</f>
        <v>0</v>
      </c>
      <c r="J47" s="155"/>
    </row>
    <row r="48" spans="1:10" ht="61.5" customHeight="1" hidden="1">
      <c r="A48" s="302"/>
      <c r="B48" s="302"/>
      <c r="C48" s="365"/>
      <c r="D48" s="301"/>
      <c r="E48" s="158" t="s">
        <v>784</v>
      </c>
      <c r="F48" s="155">
        <v>2020</v>
      </c>
      <c r="G48" s="155">
        <v>46683</v>
      </c>
      <c r="H48" s="155"/>
      <c r="I48" s="155">
        <f>46683-46683</f>
        <v>0</v>
      </c>
      <c r="J48" s="159">
        <v>100</v>
      </c>
    </row>
    <row r="49" spans="1:10" ht="79.5" customHeight="1" hidden="1">
      <c r="A49" s="302"/>
      <c r="B49" s="302"/>
      <c r="C49" s="365"/>
      <c r="D49" s="301"/>
      <c r="E49" s="158" t="s">
        <v>785</v>
      </c>
      <c r="F49" s="155" t="s">
        <v>783</v>
      </c>
      <c r="G49" s="155">
        <v>6093630</v>
      </c>
      <c r="H49" s="155">
        <v>1.9</v>
      </c>
      <c r="I49" s="155">
        <f>597771-597771</f>
        <v>0</v>
      </c>
      <c r="J49" s="159">
        <v>11.7</v>
      </c>
    </row>
    <row r="50" spans="1:10" ht="37.5">
      <c r="A50" s="303"/>
      <c r="B50" s="303"/>
      <c r="C50" s="326"/>
      <c r="D50" s="314"/>
      <c r="E50" s="158" t="s">
        <v>792</v>
      </c>
      <c r="F50" s="155" t="s">
        <v>793</v>
      </c>
      <c r="G50" s="155">
        <v>434764188</v>
      </c>
      <c r="H50" s="155"/>
      <c r="I50" s="155">
        <f>6666667-2000000-1000000-1445833-65146-48600</f>
        <v>2107088</v>
      </c>
      <c r="J50" s="159">
        <f>I50/G50*100</f>
        <v>0.48465077349011093</v>
      </c>
    </row>
    <row r="51" spans="1:10" ht="93.75">
      <c r="A51" s="148" t="s">
        <v>372</v>
      </c>
      <c r="B51" s="148" t="s">
        <v>373</v>
      </c>
      <c r="C51" s="148" t="s">
        <v>374</v>
      </c>
      <c r="D51" s="149" t="s">
        <v>375</v>
      </c>
      <c r="E51" s="158" t="s">
        <v>70</v>
      </c>
      <c r="F51" s="155">
        <v>2020</v>
      </c>
      <c r="G51" s="155">
        <f>17280</f>
        <v>17280</v>
      </c>
      <c r="H51" s="155"/>
      <c r="I51" s="155">
        <f>17280</f>
        <v>17280</v>
      </c>
      <c r="J51" s="159">
        <f>I51/G51*100</f>
        <v>100</v>
      </c>
    </row>
    <row r="52" spans="1:10" ht="42.75" customHeight="1">
      <c r="A52" s="168" t="s">
        <v>397</v>
      </c>
      <c r="B52" s="168"/>
      <c r="C52" s="168"/>
      <c r="D52" s="169" t="s">
        <v>398</v>
      </c>
      <c r="E52" s="158"/>
      <c r="F52" s="155"/>
      <c r="G52" s="155"/>
      <c r="H52" s="155"/>
      <c r="I52" s="156">
        <f>I53</f>
        <v>7492868</v>
      </c>
      <c r="J52" s="159"/>
    </row>
    <row r="53" spans="1:10" ht="37.5">
      <c r="A53" s="153" t="s">
        <v>399</v>
      </c>
      <c r="B53" s="153"/>
      <c r="C53" s="153"/>
      <c r="D53" s="154" t="s">
        <v>398</v>
      </c>
      <c r="E53" s="158"/>
      <c r="F53" s="155"/>
      <c r="G53" s="155"/>
      <c r="H53" s="155"/>
      <c r="I53" s="156">
        <f>SUM(I54:I73)</f>
        <v>7492868</v>
      </c>
      <c r="J53" s="159"/>
    </row>
    <row r="54" spans="1:10" ht="18.75" hidden="1">
      <c r="A54" s="396" t="s">
        <v>615</v>
      </c>
      <c r="B54" s="396" t="s">
        <v>616</v>
      </c>
      <c r="C54" s="396" t="s">
        <v>370</v>
      </c>
      <c r="D54" s="393" t="s">
        <v>617</v>
      </c>
      <c r="E54" s="158" t="s">
        <v>208</v>
      </c>
      <c r="F54" s="155">
        <v>2020</v>
      </c>
      <c r="G54" s="155">
        <v>689006</v>
      </c>
      <c r="H54" s="155"/>
      <c r="I54" s="155">
        <f>458596-134273-324323</f>
        <v>0</v>
      </c>
      <c r="J54" s="159">
        <f>I54/G54*100</f>
        <v>0</v>
      </c>
    </row>
    <row r="55" spans="1:10" ht="37.5">
      <c r="A55" s="401"/>
      <c r="B55" s="401"/>
      <c r="C55" s="401"/>
      <c r="D55" s="394"/>
      <c r="E55" s="158" t="s">
        <v>239</v>
      </c>
      <c r="F55" s="155">
        <v>2020</v>
      </c>
      <c r="G55" s="155">
        <v>49963</v>
      </c>
      <c r="H55" s="155"/>
      <c r="I55" s="155">
        <v>49963</v>
      </c>
      <c r="J55" s="159">
        <f>I55/G55*100</f>
        <v>100</v>
      </c>
    </row>
    <row r="56" spans="1:10" ht="48" customHeight="1">
      <c r="A56" s="365"/>
      <c r="B56" s="365"/>
      <c r="C56" s="365"/>
      <c r="D56" s="301"/>
      <c r="E56" s="158" t="s">
        <v>212</v>
      </c>
      <c r="F56" s="155" t="s">
        <v>778</v>
      </c>
      <c r="G56" s="155">
        <v>1286052</v>
      </c>
      <c r="H56" s="155">
        <v>73.7</v>
      </c>
      <c r="I56" s="155">
        <v>251261</v>
      </c>
      <c r="J56" s="159">
        <v>100</v>
      </c>
    </row>
    <row r="57" spans="1:10" ht="48" customHeight="1">
      <c r="A57" s="365"/>
      <c r="B57" s="365"/>
      <c r="C57" s="365"/>
      <c r="D57" s="301"/>
      <c r="E57" s="158" t="s">
        <v>68</v>
      </c>
      <c r="F57" s="155">
        <v>2020</v>
      </c>
      <c r="G57" s="155">
        <v>49899</v>
      </c>
      <c r="H57" s="155"/>
      <c r="I57" s="155">
        <v>49899</v>
      </c>
      <c r="J57" s="159">
        <v>100</v>
      </c>
    </row>
    <row r="58" spans="1:10" ht="56.25">
      <c r="A58" s="365"/>
      <c r="B58" s="365"/>
      <c r="C58" s="365"/>
      <c r="D58" s="301"/>
      <c r="E58" s="158" t="s">
        <v>209</v>
      </c>
      <c r="F58" s="155">
        <v>2020</v>
      </c>
      <c r="G58" s="155">
        <v>976422</v>
      </c>
      <c r="H58" s="155"/>
      <c r="I58" s="155">
        <v>924701</v>
      </c>
      <c r="J58" s="159">
        <f>I58/G58*100</f>
        <v>94.70300751109664</v>
      </c>
    </row>
    <row r="59" spans="1:10" ht="37.5">
      <c r="A59" s="365"/>
      <c r="B59" s="365"/>
      <c r="C59" s="365"/>
      <c r="D59" s="301"/>
      <c r="E59" s="158" t="s">
        <v>218</v>
      </c>
      <c r="F59" s="155">
        <v>2020</v>
      </c>
      <c r="G59" s="155">
        <v>49996</v>
      </c>
      <c r="H59" s="155"/>
      <c r="I59" s="155">
        <v>49996</v>
      </c>
      <c r="J59" s="159">
        <v>100</v>
      </c>
    </row>
    <row r="60" spans="1:10" ht="56.25">
      <c r="A60" s="365"/>
      <c r="B60" s="365"/>
      <c r="C60" s="365"/>
      <c r="D60" s="301"/>
      <c r="E60" s="158" t="s">
        <v>254</v>
      </c>
      <c r="F60" s="155">
        <v>2020</v>
      </c>
      <c r="G60" s="155">
        <v>49900</v>
      </c>
      <c r="H60" s="155"/>
      <c r="I60" s="155">
        <v>49900</v>
      </c>
      <c r="J60" s="159">
        <v>100</v>
      </c>
    </row>
    <row r="61" spans="1:10" ht="37.5">
      <c r="A61" s="365"/>
      <c r="B61" s="365"/>
      <c r="C61" s="365"/>
      <c r="D61" s="301"/>
      <c r="E61" s="158" t="s">
        <v>255</v>
      </c>
      <c r="F61" s="155">
        <v>2020</v>
      </c>
      <c r="G61" s="155">
        <v>45503</v>
      </c>
      <c r="H61" s="155"/>
      <c r="I61" s="155">
        <v>45503</v>
      </c>
      <c r="J61" s="159">
        <v>100</v>
      </c>
    </row>
    <row r="62" spans="1:10" ht="93.75">
      <c r="A62" s="365"/>
      <c r="B62" s="365"/>
      <c r="C62" s="365"/>
      <c r="D62" s="301"/>
      <c r="E62" s="158" t="s">
        <v>207</v>
      </c>
      <c r="F62" s="155">
        <v>2020</v>
      </c>
      <c r="G62" s="155">
        <v>1969418</v>
      </c>
      <c r="H62" s="155"/>
      <c r="I62" s="155">
        <f>1562840+62848</f>
        <v>1625688</v>
      </c>
      <c r="J62" s="159">
        <f>I62/G62*100</f>
        <v>82.54662037210994</v>
      </c>
    </row>
    <row r="63" spans="1:10" ht="44.25" customHeight="1">
      <c r="A63" s="365"/>
      <c r="B63" s="365"/>
      <c r="C63" s="365"/>
      <c r="D63" s="301"/>
      <c r="E63" s="158" t="s">
        <v>210</v>
      </c>
      <c r="F63" s="155">
        <v>2020</v>
      </c>
      <c r="G63" s="155">
        <v>299000</v>
      </c>
      <c r="H63" s="155"/>
      <c r="I63" s="155">
        <v>299000</v>
      </c>
      <c r="J63" s="159">
        <f>I63/G63*100</f>
        <v>100</v>
      </c>
    </row>
    <row r="64" spans="1:10" ht="23.25" customHeight="1">
      <c r="A64" s="365"/>
      <c r="B64" s="365"/>
      <c r="C64" s="365"/>
      <c r="D64" s="301"/>
      <c r="E64" s="158" t="s">
        <v>232</v>
      </c>
      <c r="F64" s="155">
        <v>2020</v>
      </c>
      <c r="G64" s="155">
        <v>200000</v>
      </c>
      <c r="H64" s="155"/>
      <c r="I64" s="155">
        <v>200000</v>
      </c>
      <c r="J64" s="159">
        <v>100</v>
      </c>
    </row>
    <row r="65" spans="1:10" ht="62.25" customHeight="1">
      <c r="A65" s="365"/>
      <c r="B65" s="365"/>
      <c r="C65" s="365"/>
      <c r="D65" s="301"/>
      <c r="E65" s="158" t="s">
        <v>211</v>
      </c>
      <c r="F65" s="155">
        <v>2020</v>
      </c>
      <c r="G65" s="155">
        <v>1176529</v>
      </c>
      <c r="H65" s="155"/>
      <c r="I65" s="155">
        <f>800000+373004</f>
        <v>1173004</v>
      </c>
      <c r="J65" s="159">
        <f>I65/G65*100</f>
        <v>99.70038987564267</v>
      </c>
    </row>
    <row r="66" spans="1:10" ht="37.5">
      <c r="A66" s="365"/>
      <c r="B66" s="365"/>
      <c r="C66" s="365"/>
      <c r="D66" s="301"/>
      <c r="E66" s="288" t="s">
        <v>241</v>
      </c>
      <c r="F66" s="155">
        <v>2020</v>
      </c>
      <c r="G66" s="155">
        <v>49932</v>
      </c>
      <c r="H66" s="155"/>
      <c r="I66" s="155">
        <v>49932</v>
      </c>
      <c r="J66" s="159">
        <f>I66/G66*100</f>
        <v>100</v>
      </c>
    </row>
    <row r="67" spans="1:10" ht="37.5">
      <c r="A67" s="365"/>
      <c r="B67" s="365"/>
      <c r="C67" s="365"/>
      <c r="D67" s="301"/>
      <c r="E67" s="288" t="s">
        <v>242</v>
      </c>
      <c r="F67" s="155">
        <v>2020</v>
      </c>
      <c r="G67" s="155">
        <v>34378</v>
      </c>
      <c r="H67" s="155"/>
      <c r="I67" s="155">
        <v>34378</v>
      </c>
      <c r="J67" s="159">
        <f>I67/G67*100</f>
        <v>100</v>
      </c>
    </row>
    <row r="68" spans="1:10" ht="37.5">
      <c r="A68" s="365"/>
      <c r="B68" s="365"/>
      <c r="C68" s="365"/>
      <c r="D68" s="301"/>
      <c r="E68" s="286" t="s">
        <v>240</v>
      </c>
      <c r="F68" s="155">
        <v>2020</v>
      </c>
      <c r="G68" s="155">
        <v>380986</v>
      </c>
      <c r="H68" s="155"/>
      <c r="I68" s="155">
        <v>380986</v>
      </c>
      <c r="J68" s="159">
        <f>I68/G68*100</f>
        <v>100</v>
      </c>
    </row>
    <row r="69" spans="1:10" ht="18.75">
      <c r="A69" s="365"/>
      <c r="B69" s="365"/>
      <c r="C69" s="365"/>
      <c r="D69" s="301"/>
      <c r="E69" s="158" t="s">
        <v>225</v>
      </c>
      <c r="F69" s="155">
        <v>2020</v>
      </c>
      <c r="G69" s="155">
        <f>136630+59031</f>
        <v>195661</v>
      </c>
      <c r="H69" s="155"/>
      <c r="I69" s="155">
        <f>136630+59031</f>
        <v>195661</v>
      </c>
      <c r="J69" s="159">
        <v>100</v>
      </c>
    </row>
    <row r="70" spans="1:10" ht="93.75">
      <c r="A70" s="365"/>
      <c r="B70" s="365"/>
      <c r="C70" s="365"/>
      <c r="D70" s="301"/>
      <c r="E70" s="287" t="s">
        <v>213</v>
      </c>
      <c r="F70" s="155" t="s">
        <v>778</v>
      </c>
      <c r="G70" s="155">
        <v>1197696</v>
      </c>
      <c r="H70" s="155">
        <v>6.4</v>
      </c>
      <c r="I70" s="155">
        <v>838662</v>
      </c>
      <c r="J70" s="159">
        <v>100</v>
      </c>
    </row>
    <row r="71" spans="1:10" ht="112.5">
      <c r="A71" s="365"/>
      <c r="B71" s="365"/>
      <c r="C71" s="365"/>
      <c r="D71" s="301"/>
      <c r="E71" s="158" t="s">
        <v>214</v>
      </c>
      <c r="F71" s="155" t="s">
        <v>778</v>
      </c>
      <c r="G71" s="155">
        <v>1620083</v>
      </c>
      <c r="H71" s="155">
        <v>6.3</v>
      </c>
      <c r="I71" s="155">
        <v>1210824</v>
      </c>
      <c r="J71" s="159">
        <v>100</v>
      </c>
    </row>
    <row r="72" spans="1:10" ht="56.25">
      <c r="A72" s="365"/>
      <c r="B72" s="365"/>
      <c r="C72" s="365"/>
      <c r="D72" s="301"/>
      <c r="E72" s="163" t="s">
        <v>243</v>
      </c>
      <c r="F72" s="155">
        <v>2020</v>
      </c>
      <c r="G72" s="155">
        <f>49185+4229</f>
        <v>53414</v>
      </c>
      <c r="H72" s="155"/>
      <c r="I72" s="155">
        <f>49185+4229</f>
        <v>53414</v>
      </c>
      <c r="J72" s="159">
        <f>I72/G72*100</f>
        <v>100</v>
      </c>
    </row>
    <row r="73" spans="1:10" ht="56.25">
      <c r="A73" s="326"/>
      <c r="B73" s="326"/>
      <c r="C73" s="326"/>
      <c r="D73" s="314"/>
      <c r="E73" s="163" t="s">
        <v>69</v>
      </c>
      <c r="F73" s="155">
        <v>2020</v>
      </c>
      <c r="G73" s="155">
        <f>10096</f>
        <v>10096</v>
      </c>
      <c r="H73" s="155"/>
      <c r="I73" s="155">
        <f>10096</f>
        <v>10096</v>
      </c>
      <c r="J73" s="159">
        <f>I73/G73*100</f>
        <v>100</v>
      </c>
    </row>
    <row r="74" spans="1:10" ht="84" customHeight="1">
      <c r="A74" s="153" t="s">
        <v>433</v>
      </c>
      <c r="B74" s="153"/>
      <c r="C74" s="153"/>
      <c r="D74" s="154" t="s">
        <v>434</v>
      </c>
      <c r="E74" s="158"/>
      <c r="F74" s="155"/>
      <c r="G74" s="155"/>
      <c r="H74" s="155"/>
      <c r="I74" s="156">
        <f>I75</f>
        <v>57904</v>
      </c>
      <c r="J74" s="159"/>
    </row>
    <row r="75" spans="1:10" ht="83.25" customHeight="1">
      <c r="A75" s="153" t="s">
        <v>435</v>
      </c>
      <c r="B75" s="153"/>
      <c r="C75" s="153"/>
      <c r="D75" s="154" t="s">
        <v>434</v>
      </c>
      <c r="E75" s="158"/>
      <c r="F75" s="155"/>
      <c r="G75" s="155"/>
      <c r="H75" s="155"/>
      <c r="I75" s="156">
        <f>SUM(I76:I78)</f>
        <v>57904</v>
      </c>
      <c r="J75" s="159"/>
    </row>
    <row r="76" spans="1:10" ht="83.25" customHeight="1">
      <c r="A76" s="157" t="s">
        <v>248</v>
      </c>
      <c r="B76" s="157" t="s">
        <v>249</v>
      </c>
      <c r="C76" s="157" t="s">
        <v>370</v>
      </c>
      <c r="D76" s="160" t="s">
        <v>250</v>
      </c>
      <c r="E76" s="158" t="s">
        <v>253</v>
      </c>
      <c r="F76" s="155">
        <v>2020</v>
      </c>
      <c r="G76" s="155">
        <v>6444</v>
      </c>
      <c r="H76" s="155"/>
      <c r="I76" s="155">
        <v>6444</v>
      </c>
      <c r="J76" s="159">
        <v>100</v>
      </c>
    </row>
    <row r="77" spans="1:10" ht="55.5" customHeight="1">
      <c r="A77" s="395" t="s">
        <v>660</v>
      </c>
      <c r="B77" s="395" t="s">
        <v>527</v>
      </c>
      <c r="C77" s="395" t="s">
        <v>370</v>
      </c>
      <c r="D77" s="393" t="s">
        <v>609</v>
      </c>
      <c r="E77" s="158" t="s">
        <v>786</v>
      </c>
      <c r="F77" s="155">
        <v>2020</v>
      </c>
      <c r="G77" s="155">
        <v>27208</v>
      </c>
      <c r="H77" s="155"/>
      <c r="I77" s="155">
        <v>27208</v>
      </c>
      <c r="J77" s="159">
        <v>100</v>
      </c>
    </row>
    <row r="78" spans="1:10" ht="57.75" customHeight="1">
      <c r="A78" s="303"/>
      <c r="B78" s="303"/>
      <c r="C78" s="303"/>
      <c r="D78" s="314"/>
      <c r="E78" s="158" t="s">
        <v>787</v>
      </c>
      <c r="F78" s="155">
        <v>2020</v>
      </c>
      <c r="G78" s="155">
        <v>24252</v>
      </c>
      <c r="H78" s="155"/>
      <c r="I78" s="155">
        <v>24252</v>
      </c>
      <c r="J78" s="159">
        <v>100</v>
      </c>
    </row>
    <row r="79" spans="1:10" ht="48.75" customHeight="1">
      <c r="A79" s="168" t="s">
        <v>449</v>
      </c>
      <c r="B79" s="168"/>
      <c r="C79" s="168"/>
      <c r="D79" s="169" t="s">
        <v>450</v>
      </c>
      <c r="E79" s="158"/>
      <c r="F79" s="155"/>
      <c r="G79" s="155"/>
      <c r="H79" s="155"/>
      <c r="I79" s="156">
        <f>I80</f>
        <v>2111535</v>
      </c>
      <c r="J79" s="159"/>
    </row>
    <row r="80" spans="1:10" ht="53.25" customHeight="1">
      <c r="A80" s="168" t="s">
        <v>451</v>
      </c>
      <c r="B80" s="168"/>
      <c r="C80" s="168"/>
      <c r="D80" s="169" t="s">
        <v>450</v>
      </c>
      <c r="E80" s="158"/>
      <c r="F80" s="155"/>
      <c r="G80" s="155"/>
      <c r="H80" s="155"/>
      <c r="I80" s="156">
        <f>SUM(I81:I83)</f>
        <v>2111535</v>
      </c>
      <c r="J80" s="159"/>
    </row>
    <row r="81" spans="1:10" ht="71.25" customHeight="1">
      <c r="A81" s="396" t="s">
        <v>641</v>
      </c>
      <c r="B81" s="396" t="s">
        <v>642</v>
      </c>
      <c r="C81" s="396" t="s">
        <v>370</v>
      </c>
      <c r="D81" s="393" t="s">
        <v>643</v>
      </c>
      <c r="E81" s="158" t="s">
        <v>203</v>
      </c>
      <c r="F81" s="155">
        <v>2020</v>
      </c>
      <c r="G81" s="155">
        <v>297892</v>
      </c>
      <c r="H81" s="155"/>
      <c r="I81" s="155">
        <v>297892</v>
      </c>
      <c r="J81" s="159">
        <f>I81/G81*100</f>
        <v>100</v>
      </c>
    </row>
    <row r="82" spans="1:10" ht="63.75" customHeight="1">
      <c r="A82" s="326"/>
      <c r="B82" s="326"/>
      <c r="C82" s="326"/>
      <c r="D82" s="314"/>
      <c r="E82" s="158" t="s">
        <v>788</v>
      </c>
      <c r="F82" s="155">
        <v>2020</v>
      </c>
      <c r="G82" s="155">
        <v>1946994</v>
      </c>
      <c r="H82" s="155"/>
      <c r="I82" s="155">
        <f>600000+1013643</f>
        <v>1613643</v>
      </c>
      <c r="J82" s="159">
        <f>I82/G82*100</f>
        <v>82.87868375557397</v>
      </c>
    </row>
    <row r="83" spans="1:10" ht="72" customHeight="1">
      <c r="A83" s="157" t="s">
        <v>644</v>
      </c>
      <c r="B83" s="157" t="s">
        <v>645</v>
      </c>
      <c r="C83" s="170" t="s">
        <v>370</v>
      </c>
      <c r="D83" s="160" t="s">
        <v>646</v>
      </c>
      <c r="E83" s="158" t="s">
        <v>789</v>
      </c>
      <c r="F83" s="155">
        <v>2020</v>
      </c>
      <c r="G83" s="155">
        <v>200000</v>
      </c>
      <c r="H83" s="155"/>
      <c r="I83" s="155">
        <v>200000</v>
      </c>
      <c r="J83" s="159">
        <v>100</v>
      </c>
    </row>
    <row r="84" spans="1:10" ht="72" customHeight="1">
      <c r="A84" s="153" t="s">
        <v>477</v>
      </c>
      <c r="B84" s="275"/>
      <c r="C84" s="276"/>
      <c r="D84" s="154" t="s">
        <v>478</v>
      </c>
      <c r="E84" s="158"/>
      <c r="F84" s="155"/>
      <c r="G84" s="155"/>
      <c r="H84" s="155"/>
      <c r="I84" s="156">
        <f>I85</f>
        <v>1468296</v>
      </c>
      <c r="J84" s="159"/>
    </row>
    <row r="85" spans="1:10" ht="72" customHeight="1">
      <c r="A85" s="153" t="s">
        <v>479</v>
      </c>
      <c r="B85" s="153"/>
      <c r="C85" s="153"/>
      <c r="D85" s="154" t="s">
        <v>478</v>
      </c>
      <c r="E85" s="158"/>
      <c r="F85" s="155"/>
      <c r="G85" s="155"/>
      <c r="H85" s="155"/>
      <c r="I85" s="156">
        <f>SUM(I86:I88)</f>
        <v>1468296</v>
      </c>
      <c r="J85" s="159"/>
    </row>
    <row r="86" spans="1:10" ht="47.25" customHeight="1">
      <c r="A86" s="396" t="s">
        <v>618</v>
      </c>
      <c r="B86" s="396" t="s">
        <v>619</v>
      </c>
      <c r="C86" s="396" t="s">
        <v>370</v>
      </c>
      <c r="D86" s="407" t="s">
        <v>620</v>
      </c>
      <c r="E86" s="158" t="s">
        <v>204</v>
      </c>
      <c r="F86" s="155" t="s">
        <v>778</v>
      </c>
      <c r="G86" s="155">
        <v>723958</v>
      </c>
      <c r="H86" s="155">
        <v>19.6</v>
      </c>
      <c r="I86" s="155">
        <v>575498</v>
      </c>
      <c r="J86" s="159">
        <v>100</v>
      </c>
    </row>
    <row r="87" spans="1:10" ht="75" hidden="1">
      <c r="A87" s="399"/>
      <c r="B87" s="399"/>
      <c r="C87" s="399"/>
      <c r="D87" s="408"/>
      <c r="E87" s="158" t="s">
        <v>206</v>
      </c>
      <c r="F87" s="155">
        <v>2020</v>
      </c>
      <c r="G87" s="155">
        <v>50006</v>
      </c>
      <c r="H87" s="155"/>
      <c r="I87" s="155">
        <f>50006-50006</f>
        <v>0</v>
      </c>
      <c r="J87" s="159">
        <v>100</v>
      </c>
    </row>
    <row r="88" spans="1:10" ht="93" customHeight="1">
      <c r="A88" s="148" t="s">
        <v>610</v>
      </c>
      <c r="B88" s="148" t="s">
        <v>582</v>
      </c>
      <c r="C88" s="148" t="s">
        <v>371</v>
      </c>
      <c r="D88" s="149" t="s">
        <v>583</v>
      </c>
      <c r="E88" s="158" t="s">
        <v>205</v>
      </c>
      <c r="F88" s="155" t="s">
        <v>778</v>
      </c>
      <c r="G88" s="155">
        <v>14290566</v>
      </c>
      <c r="H88" s="155">
        <v>46.1</v>
      </c>
      <c r="I88" s="155">
        <v>892798</v>
      </c>
      <c r="J88" s="159">
        <v>100</v>
      </c>
    </row>
    <row r="89" spans="1:10" ht="56.25">
      <c r="A89" s="153" t="s">
        <v>500</v>
      </c>
      <c r="B89" s="153"/>
      <c r="C89" s="153"/>
      <c r="D89" s="171" t="s">
        <v>501</v>
      </c>
      <c r="E89" s="158"/>
      <c r="F89" s="155"/>
      <c r="G89" s="155"/>
      <c r="H89" s="155"/>
      <c r="I89" s="156">
        <f>I90</f>
        <v>22860</v>
      </c>
      <c r="J89" s="159"/>
    </row>
    <row r="90" spans="1:10" ht="56.25">
      <c r="A90" s="153" t="s">
        <v>502</v>
      </c>
      <c r="B90" s="153"/>
      <c r="C90" s="153"/>
      <c r="D90" s="171" t="s">
        <v>501</v>
      </c>
      <c r="E90" s="158"/>
      <c r="F90" s="155"/>
      <c r="G90" s="155"/>
      <c r="H90" s="155"/>
      <c r="I90" s="156">
        <f>SUM(I91:I91)</f>
        <v>22860</v>
      </c>
      <c r="J90" s="159"/>
    </row>
    <row r="91" spans="1:10" ht="64.5" customHeight="1">
      <c r="A91" s="157" t="s">
        <v>664</v>
      </c>
      <c r="B91" s="157" t="s">
        <v>619</v>
      </c>
      <c r="C91" s="157" t="s">
        <v>370</v>
      </c>
      <c r="D91" s="160" t="s">
        <v>620</v>
      </c>
      <c r="E91" s="158" t="s">
        <v>790</v>
      </c>
      <c r="F91" s="155" t="s">
        <v>791</v>
      </c>
      <c r="G91" s="155">
        <v>2866645</v>
      </c>
      <c r="H91" s="155">
        <v>99.2</v>
      </c>
      <c r="I91" s="155">
        <v>22860</v>
      </c>
      <c r="J91" s="159">
        <v>100</v>
      </c>
    </row>
    <row r="92" spans="1:10" ht="81.75" customHeight="1">
      <c r="A92" s="153" t="s">
        <v>519</v>
      </c>
      <c r="B92" s="148"/>
      <c r="C92" s="148"/>
      <c r="D92" s="154" t="s">
        <v>520</v>
      </c>
      <c r="E92" s="172"/>
      <c r="F92" s="173"/>
      <c r="G92" s="173"/>
      <c r="H92" s="173"/>
      <c r="I92" s="156">
        <f>I93</f>
        <v>4348630</v>
      </c>
      <c r="J92" s="173"/>
    </row>
    <row r="93" spans="1:10" ht="96" customHeight="1">
      <c r="A93" s="153" t="s">
        <v>521</v>
      </c>
      <c r="B93" s="148"/>
      <c r="C93" s="148"/>
      <c r="D93" s="154" t="s">
        <v>520</v>
      </c>
      <c r="E93" s="172"/>
      <c r="F93" s="173"/>
      <c r="G93" s="173"/>
      <c r="H93" s="173"/>
      <c r="I93" s="278">
        <f>SUM(I94:I119)</f>
        <v>4348630</v>
      </c>
      <c r="J93" s="173"/>
    </row>
    <row r="94" spans="1:10" ht="51.75" customHeight="1">
      <c r="A94" s="395" t="s">
        <v>571</v>
      </c>
      <c r="B94" s="395" t="s">
        <v>572</v>
      </c>
      <c r="C94" s="395" t="s">
        <v>370</v>
      </c>
      <c r="D94" s="393" t="s">
        <v>573</v>
      </c>
      <c r="E94" s="174" t="s">
        <v>794</v>
      </c>
      <c r="F94" s="175">
        <v>2020</v>
      </c>
      <c r="G94" s="176">
        <v>5414</v>
      </c>
      <c r="H94" s="177"/>
      <c r="I94" s="176">
        <v>5414</v>
      </c>
      <c r="J94" s="177">
        <v>100</v>
      </c>
    </row>
    <row r="95" spans="1:10" ht="52.5" customHeight="1">
      <c r="A95" s="302"/>
      <c r="B95" s="302"/>
      <c r="C95" s="302"/>
      <c r="D95" s="301"/>
      <c r="E95" s="174" t="s">
        <v>795</v>
      </c>
      <c r="F95" s="175">
        <v>2020</v>
      </c>
      <c r="G95" s="176">
        <v>5362</v>
      </c>
      <c r="H95" s="177"/>
      <c r="I95" s="176">
        <v>5362</v>
      </c>
      <c r="J95" s="177">
        <v>100</v>
      </c>
    </row>
    <row r="96" spans="1:10" ht="43.5" customHeight="1">
      <c r="A96" s="302"/>
      <c r="B96" s="302"/>
      <c r="C96" s="302"/>
      <c r="D96" s="301"/>
      <c r="E96" s="178" t="s">
        <v>796</v>
      </c>
      <c r="F96" s="175">
        <v>2020</v>
      </c>
      <c r="G96" s="176">
        <v>10194</v>
      </c>
      <c r="H96" s="177"/>
      <c r="I96" s="176">
        <v>10194</v>
      </c>
      <c r="J96" s="177">
        <v>100</v>
      </c>
    </row>
    <row r="97" spans="1:10" ht="48" customHeight="1">
      <c r="A97" s="302"/>
      <c r="B97" s="302"/>
      <c r="C97" s="302"/>
      <c r="D97" s="301"/>
      <c r="E97" s="178" t="s">
        <v>797</v>
      </c>
      <c r="F97" s="175">
        <v>2020</v>
      </c>
      <c r="G97" s="176">
        <v>20920</v>
      </c>
      <c r="H97" s="177"/>
      <c r="I97" s="176">
        <v>20920</v>
      </c>
      <c r="J97" s="177">
        <v>100</v>
      </c>
    </row>
    <row r="98" spans="1:10" ht="48" customHeight="1">
      <c r="A98" s="302"/>
      <c r="B98" s="302"/>
      <c r="C98" s="302"/>
      <c r="D98" s="301"/>
      <c r="E98" s="178" t="s">
        <v>798</v>
      </c>
      <c r="F98" s="175" t="s">
        <v>778</v>
      </c>
      <c r="G98" s="176">
        <v>533388</v>
      </c>
      <c r="H98" s="177">
        <v>54.1</v>
      </c>
      <c r="I98" s="179">
        <f>533388-299792-47980</f>
        <v>185616</v>
      </c>
      <c r="J98" s="177">
        <v>100</v>
      </c>
    </row>
    <row r="99" spans="1:10" ht="33.75" customHeight="1">
      <c r="A99" s="302"/>
      <c r="B99" s="302"/>
      <c r="C99" s="302"/>
      <c r="D99" s="301"/>
      <c r="E99" s="178" t="s">
        <v>799</v>
      </c>
      <c r="F99" s="175" t="s">
        <v>778</v>
      </c>
      <c r="G99" s="176">
        <v>533388</v>
      </c>
      <c r="H99" s="177">
        <v>79.9</v>
      </c>
      <c r="I99" s="179">
        <v>47980</v>
      </c>
      <c r="J99" s="177">
        <v>100</v>
      </c>
    </row>
    <row r="100" spans="1:10" ht="48" customHeight="1">
      <c r="A100" s="303"/>
      <c r="B100" s="303"/>
      <c r="C100" s="303"/>
      <c r="D100" s="314"/>
      <c r="E100" s="178" t="s">
        <v>800</v>
      </c>
      <c r="F100" s="175">
        <v>2020</v>
      </c>
      <c r="G100" s="176">
        <v>372400</v>
      </c>
      <c r="H100" s="177"/>
      <c r="I100" s="179">
        <f>50000-1188</f>
        <v>48812</v>
      </c>
      <c r="J100" s="177">
        <f>I100/G100*100</f>
        <v>13.107411385606873</v>
      </c>
    </row>
    <row r="101" spans="1:10" ht="37.5">
      <c r="A101" s="396" t="s">
        <v>526</v>
      </c>
      <c r="B101" s="396" t="s">
        <v>527</v>
      </c>
      <c r="C101" s="396" t="s">
        <v>370</v>
      </c>
      <c r="D101" s="393" t="s">
        <v>609</v>
      </c>
      <c r="E101" s="178" t="s">
        <v>219</v>
      </c>
      <c r="F101" s="175">
        <v>2020</v>
      </c>
      <c r="G101" s="176">
        <v>1450000</v>
      </c>
      <c r="H101" s="177"/>
      <c r="I101" s="176">
        <v>1450000</v>
      </c>
      <c r="J101" s="177">
        <v>100</v>
      </c>
    </row>
    <row r="102" spans="1:10" ht="79.5" customHeight="1">
      <c r="A102" s="405"/>
      <c r="B102" s="405"/>
      <c r="C102" s="405"/>
      <c r="D102" s="406"/>
      <c r="E102" s="178" t="s">
        <v>801</v>
      </c>
      <c r="F102" s="175">
        <v>2020</v>
      </c>
      <c r="G102" s="176">
        <v>377344</v>
      </c>
      <c r="H102" s="177"/>
      <c r="I102" s="176">
        <f>377344-26890</f>
        <v>350454</v>
      </c>
      <c r="J102" s="177">
        <f>I102/G102*100</f>
        <v>92.87387635685211</v>
      </c>
    </row>
    <row r="103" spans="1:10" ht="39.75" customHeight="1">
      <c r="A103" s="405"/>
      <c r="B103" s="405"/>
      <c r="C103" s="405"/>
      <c r="D103" s="406"/>
      <c r="E103" s="178" t="s">
        <v>27</v>
      </c>
      <c r="F103" s="175">
        <v>2020</v>
      </c>
      <c r="G103" s="176">
        <v>35459</v>
      </c>
      <c r="H103" s="177"/>
      <c r="I103" s="176">
        <v>35459</v>
      </c>
      <c r="J103" s="177">
        <v>100</v>
      </c>
    </row>
    <row r="104" spans="1:10" ht="37.5" customHeight="1">
      <c r="A104" s="405"/>
      <c r="B104" s="405"/>
      <c r="C104" s="405"/>
      <c r="D104" s="406"/>
      <c r="E104" s="178" t="s">
        <v>802</v>
      </c>
      <c r="F104" s="175">
        <v>2020</v>
      </c>
      <c r="G104" s="176">
        <v>82969</v>
      </c>
      <c r="H104" s="177"/>
      <c r="I104" s="176">
        <v>82969</v>
      </c>
      <c r="J104" s="177">
        <v>100</v>
      </c>
    </row>
    <row r="105" spans="1:10" ht="41.25" customHeight="1">
      <c r="A105" s="405"/>
      <c r="B105" s="405"/>
      <c r="C105" s="405"/>
      <c r="D105" s="406"/>
      <c r="E105" s="178" t="s">
        <v>803</v>
      </c>
      <c r="F105" s="175">
        <v>2020</v>
      </c>
      <c r="G105" s="176">
        <v>50723</v>
      </c>
      <c r="H105" s="177"/>
      <c r="I105" s="176">
        <v>50723</v>
      </c>
      <c r="J105" s="177">
        <v>100</v>
      </c>
    </row>
    <row r="106" spans="1:10" ht="43.5" customHeight="1">
      <c r="A106" s="405"/>
      <c r="B106" s="405"/>
      <c r="C106" s="405"/>
      <c r="D106" s="406"/>
      <c r="E106" s="178" t="s">
        <v>804</v>
      </c>
      <c r="F106" s="175">
        <v>2020</v>
      </c>
      <c r="G106" s="176">
        <v>92758</v>
      </c>
      <c r="H106" s="177"/>
      <c r="I106" s="176">
        <v>92758</v>
      </c>
      <c r="J106" s="177">
        <v>100</v>
      </c>
    </row>
    <row r="107" spans="1:10" ht="45.75" customHeight="1">
      <c r="A107" s="405"/>
      <c r="B107" s="405"/>
      <c r="C107" s="405"/>
      <c r="D107" s="406"/>
      <c r="E107" s="178" t="s">
        <v>0</v>
      </c>
      <c r="F107" s="175">
        <v>2020</v>
      </c>
      <c r="G107" s="176">
        <v>83846</v>
      </c>
      <c r="H107" s="177"/>
      <c r="I107" s="176">
        <v>83846</v>
      </c>
      <c r="J107" s="177">
        <v>100</v>
      </c>
    </row>
    <row r="108" spans="1:10" ht="44.25" customHeight="1">
      <c r="A108" s="405"/>
      <c r="B108" s="405"/>
      <c r="C108" s="405"/>
      <c r="D108" s="406"/>
      <c r="E108" s="178" t="s">
        <v>1</v>
      </c>
      <c r="F108" s="175">
        <v>2020</v>
      </c>
      <c r="G108" s="176">
        <v>59562</v>
      </c>
      <c r="H108" s="177"/>
      <c r="I108" s="176">
        <v>59562</v>
      </c>
      <c r="J108" s="177">
        <v>100</v>
      </c>
    </row>
    <row r="109" spans="1:10" ht="37.5">
      <c r="A109" s="403"/>
      <c r="B109" s="403"/>
      <c r="C109" s="403"/>
      <c r="D109" s="403"/>
      <c r="E109" s="178" t="s">
        <v>2</v>
      </c>
      <c r="F109" s="175">
        <v>2020</v>
      </c>
      <c r="G109" s="176">
        <v>101117</v>
      </c>
      <c r="H109" s="177"/>
      <c r="I109" s="176">
        <v>101117</v>
      </c>
      <c r="J109" s="177">
        <v>100</v>
      </c>
    </row>
    <row r="110" spans="1:10" ht="37.5">
      <c r="A110" s="403"/>
      <c r="B110" s="403"/>
      <c r="C110" s="403"/>
      <c r="D110" s="403"/>
      <c r="E110" s="178" t="s">
        <v>71</v>
      </c>
      <c r="F110" s="175">
        <v>2020</v>
      </c>
      <c r="G110" s="176">
        <v>49950</v>
      </c>
      <c r="H110" s="177"/>
      <c r="I110" s="176">
        <v>49950</v>
      </c>
      <c r="J110" s="177">
        <v>100</v>
      </c>
    </row>
    <row r="111" spans="1:10" ht="37.5">
      <c r="A111" s="403"/>
      <c r="B111" s="403"/>
      <c r="C111" s="403"/>
      <c r="D111" s="403"/>
      <c r="E111" s="178" t="s">
        <v>72</v>
      </c>
      <c r="F111" s="175">
        <v>2020</v>
      </c>
      <c r="G111" s="176">
        <v>35500</v>
      </c>
      <c r="H111" s="177"/>
      <c r="I111" s="176">
        <v>35500</v>
      </c>
      <c r="J111" s="177">
        <v>100</v>
      </c>
    </row>
    <row r="112" spans="1:10" ht="37.5">
      <c r="A112" s="403"/>
      <c r="B112" s="403"/>
      <c r="C112" s="403"/>
      <c r="D112" s="403"/>
      <c r="E112" s="178" t="s">
        <v>220</v>
      </c>
      <c r="F112" s="175">
        <v>2020</v>
      </c>
      <c r="G112" s="176">
        <v>49986</v>
      </c>
      <c r="H112" s="177"/>
      <c r="I112" s="176">
        <v>49986</v>
      </c>
      <c r="J112" s="177">
        <v>100</v>
      </c>
    </row>
    <row r="113" spans="1:10" ht="37.5">
      <c r="A113" s="403"/>
      <c r="B113" s="403"/>
      <c r="C113" s="403"/>
      <c r="D113" s="403"/>
      <c r="E113" s="178" t="s">
        <v>221</v>
      </c>
      <c r="F113" s="175">
        <v>2020</v>
      </c>
      <c r="G113" s="176">
        <v>49998</v>
      </c>
      <c r="H113" s="177"/>
      <c r="I113" s="176">
        <v>49998</v>
      </c>
      <c r="J113" s="177">
        <v>100</v>
      </c>
    </row>
    <row r="114" spans="1:10" ht="37.5">
      <c r="A114" s="403"/>
      <c r="B114" s="403"/>
      <c r="C114" s="403"/>
      <c r="D114" s="403"/>
      <c r="E114" s="178" t="s">
        <v>222</v>
      </c>
      <c r="F114" s="175">
        <v>2020</v>
      </c>
      <c r="G114" s="176">
        <v>49992</v>
      </c>
      <c r="H114" s="177"/>
      <c r="I114" s="176">
        <v>49992</v>
      </c>
      <c r="J114" s="177">
        <v>100</v>
      </c>
    </row>
    <row r="115" spans="1:10" ht="37.5">
      <c r="A115" s="403"/>
      <c r="B115" s="403"/>
      <c r="C115" s="403"/>
      <c r="D115" s="403"/>
      <c r="E115" s="174" t="s">
        <v>3</v>
      </c>
      <c r="F115" s="175">
        <v>2020</v>
      </c>
      <c r="G115" s="176">
        <v>196893</v>
      </c>
      <c r="H115" s="177"/>
      <c r="I115" s="176">
        <v>196893</v>
      </c>
      <c r="J115" s="177">
        <v>100</v>
      </c>
    </row>
    <row r="116" spans="1:10" ht="43.5" customHeight="1">
      <c r="A116" s="404"/>
      <c r="B116" s="404"/>
      <c r="C116" s="404"/>
      <c r="D116" s="404"/>
      <c r="E116" s="178" t="s">
        <v>4</v>
      </c>
      <c r="F116" s="175">
        <v>2020</v>
      </c>
      <c r="G116" s="176">
        <v>46925</v>
      </c>
      <c r="H116" s="177"/>
      <c r="I116" s="176">
        <v>46925</v>
      </c>
      <c r="J116" s="177">
        <v>100</v>
      </c>
    </row>
    <row r="117" spans="1:10" ht="45.75" customHeight="1">
      <c r="A117" s="396" t="s">
        <v>532</v>
      </c>
      <c r="B117" s="396" t="s">
        <v>373</v>
      </c>
      <c r="C117" s="396" t="s">
        <v>374</v>
      </c>
      <c r="D117" s="393" t="s">
        <v>375</v>
      </c>
      <c r="E117" s="178" t="s">
        <v>223</v>
      </c>
      <c r="F117" s="175">
        <v>2020</v>
      </c>
      <c r="G117" s="176">
        <v>690636</v>
      </c>
      <c r="H117" s="177"/>
      <c r="I117" s="176">
        <v>680710</v>
      </c>
      <c r="J117" s="177">
        <f>I117/G117*100</f>
        <v>98.5627740227848</v>
      </c>
    </row>
    <row r="118" spans="1:10" ht="45.75" customHeight="1">
      <c r="A118" s="401"/>
      <c r="B118" s="401"/>
      <c r="C118" s="401"/>
      <c r="D118" s="394"/>
      <c r="E118" s="178" t="s">
        <v>224</v>
      </c>
      <c r="F118" s="175">
        <v>2020</v>
      </c>
      <c r="G118" s="176">
        <v>519960</v>
      </c>
      <c r="H118" s="177"/>
      <c r="I118" s="176">
        <v>509092</v>
      </c>
      <c r="J118" s="177">
        <f>I118/G118*100</f>
        <v>97.90983921840142</v>
      </c>
    </row>
    <row r="119" spans="1:10" ht="57" customHeight="1">
      <c r="A119" s="402"/>
      <c r="B119" s="402"/>
      <c r="C119" s="402"/>
      <c r="D119" s="380"/>
      <c r="E119" s="178" t="s">
        <v>73</v>
      </c>
      <c r="F119" s="175">
        <v>2020</v>
      </c>
      <c r="G119" s="176">
        <f>48398</f>
        <v>48398</v>
      </c>
      <c r="H119" s="177"/>
      <c r="I119" s="176">
        <f>48398</f>
        <v>48398</v>
      </c>
      <c r="J119" s="177">
        <f>I119/G119*100</f>
        <v>100</v>
      </c>
    </row>
    <row r="120" spans="1:10" ht="18">
      <c r="A120" s="180" t="s">
        <v>671</v>
      </c>
      <c r="B120" s="180" t="s">
        <v>671</v>
      </c>
      <c r="C120" s="180" t="s">
        <v>671</v>
      </c>
      <c r="D120" s="180" t="s">
        <v>294</v>
      </c>
      <c r="E120" s="180" t="s">
        <v>671</v>
      </c>
      <c r="F120" s="180" t="s">
        <v>671</v>
      </c>
      <c r="G120" s="180" t="s">
        <v>671</v>
      </c>
      <c r="H120" s="180"/>
      <c r="I120" s="180">
        <f>I17+I52+I74+I79+I84+I89+I92</f>
        <v>26527855</v>
      </c>
      <c r="J120" s="180" t="s">
        <v>671</v>
      </c>
    </row>
    <row r="124" spans="2:10" ht="18.75">
      <c r="B124" s="30" t="s">
        <v>605</v>
      </c>
      <c r="C124" s="30"/>
      <c r="D124" s="30"/>
      <c r="E124" s="31"/>
      <c r="F124" s="31"/>
      <c r="G124" s="31"/>
      <c r="H124" s="31"/>
      <c r="I124" s="30" t="s">
        <v>606</v>
      </c>
      <c r="J124" s="31"/>
    </row>
    <row r="127" ht="12.75">
      <c r="I127" s="181"/>
    </row>
  </sheetData>
  <sheetProtection/>
  <mergeCells count="59">
    <mergeCell ref="D101:D108"/>
    <mergeCell ref="D86:D87"/>
    <mergeCell ref="C94:C100"/>
    <mergeCell ref="B94:B100"/>
    <mergeCell ref="D94:D100"/>
    <mergeCell ref="A109:A116"/>
    <mergeCell ref="B109:B116"/>
    <mergeCell ref="C109:C116"/>
    <mergeCell ref="A94:A100"/>
    <mergeCell ref="D109:D116"/>
    <mergeCell ref="A101:A108"/>
    <mergeCell ref="B101:B108"/>
    <mergeCell ref="C101:C108"/>
    <mergeCell ref="A117:A119"/>
    <mergeCell ref="B117:B119"/>
    <mergeCell ref="C117:C119"/>
    <mergeCell ref="D117:D119"/>
    <mergeCell ref="D81:D82"/>
    <mergeCell ref="C25:C31"/>
    <mergeCell ref="A54:A73"/>
    <mergeCell ref="B54:B73"/>
    <mergeCell ref="C54:C73"/>
    <mergeCell ref="D54:D73"/>
    <mergeCell ref="A77:A78"/>
    <mergeCell ref="C33:C42"/>
    <mergeCell ref="A25:A31"/>
    <mergeCell ref="C81:C82"/>
    <mergeCell ref="A6:J7"/>
    <mergeCell ref="A11:A15"/>
    <mergeCell ref="B11:B15"/>
    <mergeCell ref="C11:C15"/>
    <mergeCell ref="D11:D15"/>
    <mergeCell ref="A81:A82"/>
    <mergeCell ref="A86:A87"/>
    <mergeCell ref="B86:B87"/>
    <mergeCell ref="C86:C87"/>
    <mergeCell ref="B81:B82"/>
    <mergeCell ref="E11:E15"/>
    <mergeCell ref="A19:A24"/>
    <mergeCell ref="F11:F15"/>
    <mergeCell ref="D19:D24"/>
    <mergeCell ref="J11:J15"/>
    <mergeCell ref="I11:I15"/>
    <mergeCell ref="H11:H15"/>
    <mergeCell ref="G11:G15"/>
    <mergeCell ref="A33:A42"/>
    <mergeCell ref="B33:B42"/>
    <mergeCell ref="C77:C78"/>
    <mergeCell ref="B19:B24"/>
    <mergeCell ref="C19:C24"/>
    <mergeCell ref="A45:A50"/>
    <mergeCell ref="B25:B31"/>
    <mergeCell ref="B77:B78"/>
    <mergeCell ref="D77:D78"/>
    <mergeCell ref="D25:D31"/>
    <mergeCell ref="D33:D42"/>
    <mergeCell ref="B45:B50"/>
    <mergeCell ref="C45:C50"/>
    <mergeCell ref="D45:D50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3"/>
  <sheetViews>
    <sheetView tabSelected="1" zoomScale="75" zoomScaleNormal="75" zoomScalePageLayoutView="0" workbookViewId="0" topLeftCell="A1">
      <pane xSplit="6" ySplit="17" topLeftCell="G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I5" sqref="I5"/>
    </sheetView>
  </sheetViews>
  <sheetFormatPr defaultColWidth="9.00390625" defaultRowHeight="12.75"/>
  <cols>
    <col min="1" max="1" width="15.00390625" style="19" customWidth="1"/>
    <col min="2" max="2" width="14.25390625" style="19" customWidth="1"/>
    <col min="3" max="3" width="14.875" style="19" customWidth="1"/>
    <col min="4" max="4" width="59.125" style="19" customWidth="1"/>
    <col min="5" max="5" width="50.25390625" style="19" bestFit="1" customWidth="1"/>
    <col min="6" max="6" width="18.375" style="112" customWidth="1"/>
    <col min="7" max="7" width="19.37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.75">
      <c r="I1" s="30" t="s">
        <v>180</v>
      </c>
      <c r="J1" s="8"/>
    </row>
    <row r="2" spans="9:11" ht="18.75">
      <c r="I2" s="46" t="s">
        <v>216</v>
      </c>
      <c r="J2" s="113"/>
      <c r="K2"/>
    </row>
    <row r="3" spans="9:11" ht="18.75">
      <c r="I3" s="30" t="s">
        <v>170</v>
      </c>
      <c r="J3" s="8"/>
      <c r="K3"/>
    </row>
    <row r="4" spans="9:11" ht="18.75">
      <c r="I4" s="30" t="s">
        <v>217</v>
      </c>
      <c r="J4" s="8"/>
      <c r="K4"/>
    </row>
    <row r="5" spans="9:10" ht="15.75">
      <c r="I5"/>
      <c r="J5"/>
    </row>
    <row r="6" spans="1:10" ht="20.25">
      <c r="A6" s="441" t="s">
        <v>673</v>
      </c>
      <c r="B6" s="441"/>
      <c r="C6" s="441"/>
      <c r="D6" s="441"/>
      <c r="E6" s="441"/>
      <c r="F6" s="441"/>
      <c r="G6" s="441"/>
      <c r="H6" s="441"/>
      <c r="I6" s="441"/>
      <c r="J6" s="441"/>
    </row>
    <row r="7" ht="15.75">
      <c r="A7" s="112">
        <v>21528000000</v>
      </c>
    </row>
    <row r="8" ht="15.75">
      <c r="A8" s="114" t="s">
        <v>296</v>
      </c>
    </row>
    <row r="9" ht="15.75">
      <c r="J9" s="112" t="s">
        <v>276</v>
      </c>
    </row>
    <row r="10" spans="1:10" s="116" customFormat="1" ht="41.25" customHeight="1">
      <c r="A10" s="432" t="s">
        <v>298</v>
      </c>
      <c r="B10" s="432" t="s">
        <v>299</v>
      </c>
      <c r="C10" s="432" t="s">
        <v>287</v>
      </c>
      <c r="D10" s="432" t="s">
        <v>674</v>
      </c>
      <c r="E10" s="432" t="s">
        <v>675</v>
      </c>
      <c r="F10" s="432" t="s">
        <v>676</v>
      </c>
      <c r="G10" s="432" t="s">
        <v>278</v>
      </c>
      <c r="H10" s="432" t="s">
        <v>279</v>
      </c>
      <c r="I10" s="432" t="s">
        <v>280</v>
      </c>
      <c r="J10" s="432"/>
    </row>
    <row r="11" spans="1:10" s="116" customFormat="1" ht="9.75" customHeight="1" hidden="1">
      <c r="A11" s="432"/>
      <c r="B11" s="432"/>
      <c r="C11" s="432"/>
      <c r="D11" s="432"/>
      <c r="E11" s="432"/>
      <c r="F11" s="432"/>
      <c r="G11" s="432"/>
      <c r="H11" s="432"/>
      <c r="I11" s="432"/>
      <c r="J11" s="432"/>
    </row>
    <row r="12" spans="1:10" s="116" customFormat="1" ht="15.75" hidden="1">
      <c r="A12" s="432"/>
      <c r="B12" s="432"/>
      <c r="C12" s="432"/>
      <c r="D12" s="432"/>
      <c r="E12" s="432"/>
      <c r="F12" s="432"/>
      <c r="G12" s="432"/>
      <c r="H12" s="432"/>
      <c r="I12" s="432"/>
      <c r="J12" s="432"/>
    </row>
    <row r="13" spans="1:10" s="116" customFormat="1" ht="9.75" customHeight="1" hidden="1">
      <c r="A13" s="432"/>
      <c r="B13" s="432"/>
      <c r="C13" s="432"/>
      <c r="D13" s="432"/>
      <c r="E13" s="432"/>
      <c r="F13" s="432"/>
      <c r="G13" s="432"/>
      <c r="H13" s="432"/>
      <c r="I13" s="432"/>
      <c r="J13" s="432"/>
    </row>
    <row r="14" spans="1:10" s="116" customFormat="1" ht="15.75" hidden="1">
      <c r="A14" s="432"/>
      <c r="B14" s="432"/>
      <c r="C14" s="432"/>
      <c r="D14" s="432"/>
      <c r="E14" s="432"/>
      <c r="F14" s="432"/>
      <c r="G14" s="432"/>
      <c r="H14" s="432"/>
      <c r="I14" s="432"/>
      <c r="J14" s="432"/>
    </row>
    <row r="15" spans="1:10" s="116" customFormat="1" ht="51" customHeight="1">
      <c r="A15" s="432"/>
      <c r="B15" s="432"/>
      <c r="C15" s="432"/>
      <c r="D15" s="432"/>
      <c r="E15" s="432"/>
      <c r="F15" s="432"/>
      <c r="G15" s="432"/>
      <c r="H15" s="432"/>
      <c r="I15" s="432" t="s">
        <v>281</v>
      </c>
      <c r="J15" s="432" t="s">
        <v>282</v>
      </c>
    </row>
    <row r="16" spans="1:10" s="116" customFormat="1" ht="99.75" customHeight="1">
      <c r="A16" s="432"/>
      <c r="B16" s="432"/>
      <c r="C16" s="432"/>
      <c r="D16" s="432"/>
      <c r="E16" s="432"/>
      <c r="F16" s="432"/>
      <c r="G16" s="432"/>
      <c r="H16" s="432"/>
      <c r="I16" s="432"/>
      <c r="J16" s="432"/>
    </row>
    <row r="17" spans="1:10" ht="15.7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.75">
      <c r="A18" s="117" t="s">
        <v>301</v>
      </c>
      <c r="B18" s="117"/>
      <c r="C18" s="117"/>
      <c r="D18" s="118" t="s">
        <v>302</v>
      </c>
      <c r="E18" s="26"/>
      <c r="F18" s="26"/>
      <c r="G18" s="36">
        <f>G19</f>
        <v>122057963</v>
      </c>
      <c r="H18" s="36">
        <f>H19</f>
        <v>91784500</v>
      </c>
      <c r="I18" s="36">
        <f>I19</f>
        <v>30273463</v>
      </c>
      <c r="J18" s="36">
        <f>J19</f>
        <v>29291505</v>
      </c>
    </row>
    <row r="19" spans="1:10" ht="15.75">
      <c r="A19" s="117" t="s">
        <v>303</v>
      </c>
      <c r="B19" s="117"/>
      <c r="C19" s="117"/>
      <c r="D19" s="118" t="s">
        <v>302</v>
      </c>
      <c r="E19" s="26"/>
      <c r="F19" s="26"/>
      <c r="G19" s="36">
        <f>SUM(G20:G69)</f>
        <v>122057963</v>
      </c>
      <c r="H19" s="36">
        <f>SUM(H20:H69)</f>
        <v>91784500</v>
      </c>
      <c r="I19" s="36">
        <f>SUM(I20:I69)</f>
        <v>30273463</v>
      </c>
      <c r="J19" s="36">
        <f>SUM(J20:J69)</f>
        <v>29291505</v>
      </c>
    </row>
    <row r="20" spans="1:10" ht="106.5" customHeight="1">
      <c r="A20" s="119" t="s">
        <v>304</v>
      </c>
      <c r="B20" s="119" t="s">
        <v>305</v>
      </c>
      <c r="C20" s="119" t="s">
        <v>306</v>
      </c>
      <c r="D20" s="120" t="s">
        <v>307</v>
      </c>
      <c r="E20" s="120" t="s">
        <v>677</v>
      </c>
      <c r="F20" s="115" t="s">
        <v>17</v>
      </c>
      <c r="G20" s="34">
        <f>H20+I20</f>
        <v>941468</v>
      </c>
      <c r="H20" s="34">
        <f>198326+201505+71594+62000+99942+27791+49900</f>
        <v>711058</v>
      </c>
      <c r="I20" s="34">
        <f>J20</f>
        <v>230410</v>
      </c>
      <c r="J20" s="34">
        <f>180650+9760+40000</f>
        <v>230410</v>
      </c>
    </row>
    <row r="21" spans="1:10" ht="78.75">
      <c r="A21" s="119" t="s">
        <v>311</v>
      </c>
      <c r="B21" s="121" t="s">
        <v>312</v>
      </c>
      <c r="C21" s="122" t="s">
        <v>313</v>
      </c>
      <c r="D21" s="120" t="s">
        <v>678</v>
      </c>
      <c r="E21" s="123" t="s">
        <v>679</v>
      </c>
      <c r="F21" s="115" t="s">
        <v>680</v>
      </c>
      <c r="G21" s="34">
        <f>H21+I21</f>
        <v>833511</v>
      </c>
      <c r="H21" s="34">
        <f>759115+18396</f>
        <v>777511</v>
      </c>
      <c r="I21" s="34">
        <v>56000</v>
      </c>
      <c r="J21" s="34"/>
    </row>
    <row r="22" spans="1:10" ht="111.75" customHeight="1">
      <c r="A22" s="421" t="s">
        <v>316</v>
      </c>
      <c r="B22" s="440" t="s">
        <v>317</v>
      </c>
      <c r="C22" s="421" t="s">
        <v>318</v>
      </c>
      <c r="D22" s="427" t="s">
        <v>319</v>
      </c>
      <c r="E22" s="124" t="s">
        <v>681</v>
      </c>
      <c r="F22" s="125" t="s">
        <v>682</v>
      </c>
      <c r="G22" s="34">
        <f>H22+I22</f>
        <v>7319692</v>
      </c>
      <c r="H22" s="35">
        <f>5556832+183938+400000+654823-270000-73301</f>
        <v>6452292</v>
      </c>
      <c r="I22" s="34">
        <f>J22</f>
        <v>867400</v>
      </c>
      <c r="J22" s="34">
        <f>767500+99900+945200-945200</f>
        <v>867400</v>
      </c>
    </row>
    <row r="23" spans="1:10" ht="96" customHeight="1">
      <c r="A23" s="421"/>
      <c r="B23" s="440"/>
      <c r="C23" s="421"/>
      <c r="D23" s="427"/>
      <c r="E23" s="124" t="s">
        <v>683</v>
      </c>
      <c r="F23" s="115" t="s">
        <v>5</v>
      </c>
      <c r="G23" s="34">
        <f>H23+I23</f>
        <v>15539397</v>
      </c>
      <c r="H23" s="35">
        <f>4432232+1098750+135494+750000+137200+169202+71920+750000+20110+650000+270000+73301+184887+200000+195908+58000+72630+32030+68020-6999-100000+85028+25600+37584+204850</f>
        <v>9615747</v>
      </c>
      <c r="I23" s="34">
        <f>J23</f>
        <v>5923650</v>
      </c>
      <c r="J23" s="34">
        <f>4727000+211500+315000+375000+295150</f>
        <v>5923650</v>
      </c>
    </row>
    <row r="24" spans="1:10" ht="96" customHeight="1">
      <c r="A24" s="119" t="s">
        <v>328</v>
      </c>
      <c r="B24" s="119" t="s">
        <v>329</v>
      </c>
      <c r="C24" s="119" t="s">
        <v>330</v>
      </c>
      <c r="D24" s="123" t="s">
        <v>331</v>
      </c>
      <c r="E24" s="124" t="s">
        <v>684</v>
      </c>
      <c r="F24" s="115" t="s">
        <v>6</v>
      </c>
      <c r="G24" s="34">
        <f aca="true" t="shared" si="0" ref="G24:G69">H24+I24</f>
        <v>1119343</v>
      </c>
      <c r="H24" s="35">
        <f>820783+58061+100000+22500+49999</f>
        <v>1051343</v>
      </c>
      <c r="I24" s="34">
        <f>J24</f>
        <v>68000</v>
      </c>
      <c r="J24" s="34">
        <f>48000+20000</f>
        <v>68000</v>
      </c>
    </row>
    <row r="25" spans="1:10" ht="94.5">
      <c r="A25" s="414" t="s">
        <v>324</v>
      </c>
      <c r="B25" s="416">
        <v>2152</v>
      </c>
      <c r="C25" s="414" t="s">
        <v>326</v>
      </c>
      <c r="D25" s="427" t="s">
        <v>327</v>
      </c>
      <c r="E25" s="124" t="s">
        <v>685</v>
      </c>
      <c r="F25" s="125" t="s">
        <v>686</v>
      </c>
      <c r="G25" s="34">
        <f t="shared" si="0"/>
        <v>199000</v>
      </c>
      <c r="H25" s="34">
        <v>199000</v>
      </c>
      <c r="I25" s="34"/>
      <c r="J25" s="34"/>
    </row>
    <row r="26" spans="1:10" ht="78.75">
      <c r="A26" s="414"/>
      <c r="B26" s="416"/>
      <c r="C26" s="414"/>
      <c r="D26" s="427"/>
      <c r="E26" s="124" t="s">
        <v>29</v>
      </c>
      <c r="F26" s="125" t="s">
        <v>687</v>
      </c>
      <c r="G26" s="34">
        <f>H26+I26</f>
        <v>343653</v>
      </c>
      <c r="H26" s="34">
        <f>80000+221814+41839</f>
        <v>343653</v>
      </c>
      <c r="I26" s="34"/>
      <c r="J26" s="34"/>
    </row>
    <row r="27" spans="1:10" ht="94.5">
      <c r="A27" s="414"/>
      <c r="B27" s="416"/>
      <c r="C27" s="414"/>
      <c r="D27" s="427"/>
      <c r="E27" s="124" t="s">
        <v>23</v>
      </c>
      <c r="F27" s="125" t="s">
        <v>688</v>
      </c>
      <c r="G27" s="34">
        <f>H27+I27</f>
        <v>284000</v>
      </c>
      <c r="H27" s="34">
        <f>100000+84000+100000</f>
        <v>284000</v>
      </c>
      <c r="I27" s="34"/>
      <c r="J27" s="34"/>
    </row>
    <row r="28" spans="1:10" ht="99" customHeight="1">
      <c r="A28" s="414"/>
      <c r="B28" s="416"/>
      <c r="C28" s="437"/>
      <c r="D28" s="438"/>
      <c r="E28" s="124" t="s">
        <v>689</v>
      </c>
      <c r="F28" s="115" t="s">
        <v>7</v>
      </c>
      <c r="G28" s="34">
        <f t="shared" si="0"/>
        <v>3976412</v>
      </c>
      <c r="H28" s="34">
        <f>4654600-476620+100000+230000-100000-431568</f>
        <v>3976412</v>
      </c>
      <c r="I28" s="34"/>
      <c r="J28" s="34"/>
    </row>
    <row r="29" spans="1:10" ht="98.25" customHeight="1">
      <c r="A29" s="414"/>
      <c r="B29" s="416"/>
      <c r="C29" s="437"/>
      <c r="D29" s="438"/>
      <c r="E29" s="124" t="s">
        <v>684</v>
      </c>
      <c r="F29" s="115" t="s">
        <v>6</v>
      </c>
      <c r="G29" s="34">
        <f t="shared" si="0"/>
        <v>938868</v>
      </c>
      <c r="H29" s="34">
        <f>106039+600000+100000+132829</f>
        <v>938868</v>
      </c>
      <c r="I29" s="34"/>
      <c r="J29" s="34"/>
    </row>
    <row r="30" spans="1:10" ht="110.25" customHeight="1">
      <c r="A30" s="414"/>
      <c r="B30" s="416"/>
      <c r="C30" s="437"/>
      <c r="D30" s="438"/>
      <c r="E30" s="124" t="s">
        <v>690</v>
      </c>
      <c r="F30" s="125" t="s">
        <v>691</v>
      </c>
      <c r="G30" s="34">
        <f t="shared" si="0"/>
        <v>1578500</v>
      </c>
      <c r="H30" s="34">
        <f>1356000+122500+100000</f>
        <v>1578500</v>
      </c>
      <c r="I30" s="34"/>
      <c r="J30" s="34"/>
    </row>
    <row r="31" spans="1:10" ht="106.5" customHeight="1">
      <c r="A31" s="119" t="s">
        <v>334</v>
      </c>
      <c r="B31" s="127">
        <v>3112</v>
      </c>
      <c r="C31" s="122" t="s">
        <v>336</v>
      </c>
      <c r="D31" s="123" t="s">
        <v>337</v>
      </c>
      <c r="E31" s="128" t="s">
        <v>692</v>
      </c>
      <c r="F31" s="115" t="s">
        <v>693</v>
      </c>
      <c r="G31" s="34">
        <f t="shared" si="0"/>
        <v>5000</v>
      </c>
      <c r="H31" s="34">
        <v>5000</v>
      </c>
      <c r="I31" s="34"/>
      <c r="J31" s="34"/>
    </row>
    <row r="32" spans="1:10" ht="94.5">
      <c r="A32" s="119" t="s">
        <v>338</v>
      </c>
      <c r="B32" s="119" t="s">
        <v>339</v>
      </c>
      <c r="C32" s="119" t="s">
        <v>340</v>
      </c>
      <c r="D32" s="123" t="s">
        <v>341</v>
      </c>
      <c r="E32" s="124" t="s">
        <v>685</v>
      </c>
      <c r="F32" s="125" t="s">
        <v>686</v>
      </c>
      <c r="G32" s="34">
        <f t="shared" si="0"/>
        <v>126000</v>
      </c>
      <c r="H32" s="34">
        <f>94000+32000</f>
        <v>126000</v>
      </c>
      <c r="I32" s="34"/>
      <c r="J32" s="34"/>
    </row>
    <row r="33" spans="1:10" ht="78.75">
      <c r="A33" s="119" t="s">
        <v>649</v>
      </c>
      <c r="B33" s="119" t="s">
        <v>638</v>
      </c>
      <c r="C33" s="119" t="s">
        <v>639</v>
      </c>
      <c r="D33" s="123" t="s">
        <v>640</v>
      </c>
      <c r="E33" s="129" t="s">
        <v>30</v>
      </c>
      <c r="F33" s="125" t="s">
        <v>8</v>
      </c>
      <c r="G33" s="34">
        <f>H33+I33</f>
        <v>112368</v>
      </c>
      <c r="H33" s="34">
        <f>89320+23048</f>
        <v>112368</v>
      </c>
      <c r="I33" s="34"/>
      <c r="J33" s="34"/>
    </row>
    <row r="34" spans="1:10" ht="94.5">
      <c r="A34" s="119" t="s">
        <v>342</v>
      </c>
      <c r="B34" s="119" t="s">
        <v>343</v>
      </c>
      <c r="C34" s="119" t="s">
        <v>344</v>
      </c>
      <c r="D34" s="123" t="s">
        <v>694</v>
      </c>
      <c r="E34" s="124" t="s">
        <v>685</v>
      </c>
      <c r="F34" s="125" t="s">
        <v>686</v>
      </c>
      <c r="G34" s="34">
        <f t="shared" si="0"/>
        <v>1038000</v>
      </c>
      <c r="H34" s="34">
        <f>800000+238000</f>
        <v>1038000</v>
      </c>
      <c r="I34" s="34"/>
      <c r="J34" s="34"/>
    </row>
    <row r="35" spans="1:10" ht="100.5" customHeight="1">
      <c r="A35" s="119" t="s">
        <v>346</v>
      </c>
      <c r="B35" s="119" t="s">
        <v>347</v>
      </c>
      <c r="C35" s="119" t="s">
        <v>348</v>
      </c>
      <c r="D35" s="123" t="s">
        <v>349</v>
      </c>
      <c r="E35" s="120" t="s">
        <v>695</v>
      </c>
      <c r="F35" s="125" t="s">
        <v>696</v>
      </c>
      <c r="G35" s="34">
        <f>H35+I35</f>
        <v>1769277</v>
      </c>
      <c r="H35" s="34">
        <f>253522+50000+500000+500000+465755</f>
        <v>1769277</v>
      </c>
      <c r="I35" s="34"/>
      <c r="J35" s="34"/>
    </row>
    <row r="36" spans="1:10" ht="94.5">
      <c r="A36" s="119" t="s">
        <v>350</v>
      </c>
      <c r="B36" s="119" t="s">
        <v>351</v>
      </c>
      <c r="C36" s="119" t="s">
        <v>348</v>
      </c>
      <c r="D36" s="123" t="s">
        <v>352</v>
      </c>
      <c r="E36" s="120" t="s">
        <v>695</v>
      </c>
      <c r="F36" s="125" t="s">
        <v>696</v>
      </c>
      <c r="G36" s="34">
        <f t="shared" si="0"/>
        <v>1747610</v>
      </c>
      <c r="H36" s="34">
        <f>1184800+500000-136100+198910</f>
        <v>1747610</v>
      </c>
      <c r="I36" s="34"/>
      <c r="J36" s="34"/>
    </row>
    <row r="37" spans="1:10" ht="109.5" customHeight="1">
      <c r="A37" s="119" t="s">
        <v>353</v>
      </c>
      <c r="B37" s="119" t="s">
        <v>354</v>
      </c>
      <c r="C37" s="119" t="s">
        <v>348</v>
      </c>
      <c r="D37" s="123" t="s">
        <v>697</v>
      </c>
      <c r="E37" s="128" t="s">
        <v>698</v>
      </c>
      <c r="F37" s="130" t="s">
        <v>699</v>
      </c>
      <c r="G37" s="34">
        <f t="shared" si="0"/>
        <v>4600000</v>
      </c>
      <c r="H37" s="34">
        <f>2000000+1000000+1000000+600000</f>
        <v>4600000</v>
      </c>
      <c r="I37" s="34"/>
      <c r="J37" s="34"/>
    </row>
    <row r="38" spans="1:10" ht="110.25" customHeight="1">
      <c r="A38" s="119" t="s">
        <v>356</v>
      </c>
      <c r="B38" s="119" t="s">
        <v>357</v>
      </c>
      <c r="C38" s="119" t="s">
        <v>348</v>
      </c>
      <c r="D38" s="123" t="s">
        <v>358</v>
      </c>
      <c r="E38" s="120" t="s">
        <v>695</v>
      </c>
      <c r="F38" s="125" t="s">
        <v>696</v>
      </c>
      <c r="G38" s="34">
        <f t="shared" si="0"/>
        <v>1713145</v>
      </c>
      <c r="H38" s="34">
        <f>300000+400000+473268+100000+200000+200000+39877</f>
        <v>1713145</v>
      </c>
      <c r="I38" s="34"/>
      <c r="J38" s="34"/>
    </row>
    <row r="39" spans="1:10" ht="115.5" customHeight="1">
      <c r="A39" s="119" t="s">
        <v>359</v>
      </c>
      <c r="B39" s="122" t="s">
        <v>360</v>
      </c>
      <c r="C39" s="122" t="s">
        <v>348</v>
      </c>
      <c r="D39" s="123" t="s">
        <v>361</v>
      </c>
      <c r="E39" s="128" t="s">
        <v>698</v>
      </c>
      <c r="F39" s="130" t="s">
        <v>699</v>
      </c>
      <c r="G39" s="34">
        <f t="shared" si="0"/>
        <v>32456396</v>
      </c>
      <c r="H39" s="34">
        <f>31117320+113068+74521+500000+300000+23268+38838+100000+50000+93687+45694</f>
        <v>32456396</v>
      </c>
      <c r="I39" s="34"/>
      <c r="J39" s="34"/>
    </row>
    <row r="40" spans="1:10" ht="103.5" customHeight="1">
      <c r="A40" s="119" t="s">
        <v>657</v>
      </c>
      <c r="B40" s="119" t="s">
        <v>658</v>
      </c>
      <c r="C40" s="119" t="s">
        <v>362</v>
      </c>
      <c r="D40" s="145" t="s">
        <v>659</v>
      </c>
      <c r="E40" s="120" t="s">
        <v>695</v>
      </c>
      <c r="F40" s="125" t="s">
        <v>696</v>
      </c>
      <c r="G40" s="34">
        <f t="shared" si="0"/>
        <v>2636676</v>
      </c>
      <c r="H40" s="34">
        <f>1030968+805708+400000+400000</f>
        <v>2636676</v>
      </c>
      <c r="I40" s="34"/>
      <c r="J40" s="34"/>
    </row>
    <row r="41" spans="1:10" ht="93.75" customHeight="1">
      <c r="A41" s="414" t="s">
        <v>363</v>
      </c>
      <c r="B41" s="414" t="s">
        <v>364</v>
      </c>
      <c r="C41" s="414" t="s">
        <v>362</v>
      </c>
      <c r="D41" s="439" t="s">
        <v>365</v>
      </c>
      <c r="E41" s="124" t="s">
        <v>685</v>
      </c>
      <c r="F41" s="125" t="s">
        <v>686</v>
      </c>
      <c r="G41" s="34">
        <f t="shared" si="0"/>
        <v>49500</v>
      </c>
      <c r="H41" s="34">
        <v>49500</v>
      </c>
      <c r="I41" s="34"/>
      <c r="J41" s="34"/>
    </row>
    <row r="42" spans="1:10" ht="106.5" customHeight="1">
      <c r="A42" s="416"/>
      <c r="B42" s="416"/>
      <c r="C42" s="416"/>
      <c r="D42" s="427"/>
      <c r="E42" s="128" t="s">
        <v>698</v>
      </c>
      <c r="F42" s="130" t="s">
        <v>699</v>
      </c>
      <c r="G42" s="34">
        <f t="shared" si="0"/>
        <v>150000</v>
      </c>
      <c r="H42" s="34">
        <v>150000</v>
      </c>
      <c r="I42" s="34"/>
      <c r="J42" s="34"/>
    </row>
    <row r="43" spans="1:10" ht="78.75" hidden="1">
      <c r="A43" s="119" t="s">
        <v>366</v>
      </c>
      <c r="B43" s="119" t="s">
        <v>367</v>
      </c>
      <c r="C43" s="119" t="s">
        <v>368</v>
      </c>
      <c r="D43" s="131" t="s">
        <v>700</v>
      </c>
      <c r="E43" s="128" t="s">
        <v>701</v>
      </c>
      <c r="F43" s="125" t="s">
        <v>702</v>
      </c>
      <c r="G43" s="34">
        <f t="shared" si="0"/>
        <v>0</v>
      </c>
      <c r="H43" s="34">
        <f>100000-100000</f>
        <v>0</v>
      </c>
      <c r="I43" s="34"/>
      <c r="J43" s="34"/>
    </row>
    <row r="44" spans="1:10" ht="94.5">
      <c r="A44" s="414" t="s">
        <v>623</v>
      </c>
      <c r="B44" s="414" t="s">
        <v>572</v>
      </c>
      <c r="C44" s="414" t="s">
        <v>370</v>
      </c>
      <c r="D44" s="427" t="s">
        <v>573</v>
      </c>
      <c r="E44" s="124" t="s">
        <v>703</v>
      </c>
      <c r="F44" s="130" t="s">
        <v>9</v>
      </c>
      <c r="G44" s="34">
        <f>H44+I44</f>
        <v>2337124</v>
      </c>
      <c r="H44" s="34"/>
      <c r="I44" s="34">
        <f aca="true" t="shared" si="1" ref="I44:I52">J44</f>
        <v>2337124</v>
      </c>
      <c r="J44" s="34">
        <f>1489850+1061729+799188-1013643</f>
        <v>2337124</v>
      </c>
    </row>
    <row r="45" spans="1:10" ht="94.5">
      <c r="A45" s="419"/>
      <c r="B45" s="419"/>
      <c r="C45" s="419"/>
      <c r="D45" s="430"/>
      <c r="E45" s="128" t="s">
        <v>705</v>
      </c>
      <c r="F45" s="130" t="s">
        <v>706</v>
      </c>
      <c r="G45" s="34">
        <f>H45+I45</f>
        <v>387961</v>
      </c>
      <c r="H45" s="34"/>
      <c r="I45" s="34">
        <f t="shared" si="1"/>
        <v>387961</v>
      </c>
      <c r="J45" s="34">
        <f>401229-13268</f>
        <v>387961</v>
      </c>
    </row>
    <row r="46" spans="1:10" ht="94.5">
      <c r="A46" s="409" t="s">
        <v>654</v>
      </c>
      <c r="B46" s="409" t="s">
        <v>655</v>
      </c>
      <c r="C46" s="409" t="s">
        <v>370</v>
      </c>
      <c r="D46" s="411" t="s">
        <v>656</v>
      </c>
      <c r="E46" s="124" t="s">
        <v>681</v>
      </c>
      <c r="F46" s="125" t="s">
        <v>682</v>
      </c>
      <c r="G46" s="34">
        <f>H46+I46</f>
        <v>1110133</v>
      </c>
      <c r="H46" s="34"/>
      <c r="I46" s="34">
        <f t="shared" si="1"/>
        <v>1110133</v>
      </c>
      <c r="J46" s="34">
        <f>182560+682318+245255</f>
        <v>1110133</v>
      </c>
    </row>
    <row r="47" spans="1:10" ht="94.5">
      <c r="A47" s="410"/>
      <c r="B47" s="410"/>
      <c r="C47" s="410"/>
      <c r="D47" s="412"/>
      <c r="E47" s="124" t="s">
        <v>684</v>
      </c>
      <c r="F47" s="115" t="s">
        <v>6</v>
      </c>
      <c r="G47" s="34">
        <f>I47+H47</f>
        <v>250000</v>
      </c>
      <c r="H47" s="34"/>
      <c r="I47" s="34">
        <f>J47</f>
        <v>250000</v>
      </c>
      <c r="J47" s="34">
        <v>250000</v>
      </c>
    </row>
    <row r="48" spans="1:10" ht="94.5">
      <c r="A48" s="326"/>
      <c r="B48" s="326"/>
      <c r="C48" s="326"/>
      <c r="D48" s="314"/>
      <c r="E48" s="124" t="s">
        <v>683</v>
      </c>
      <c r="F48" s="115" t="s">
        <v>5</v>
      </c>
      <c r="G48" s="34">
        <f>H48+I48</f>
        <v>711330</v>
      </c>
      <c r="H48" s="34"/>
      <c r="I48" s="34">
        <f>J48</f>
        <v>711330</v>
      </c>
      <c r="J48" s="34">
        <f>200000+272399+238931</f>
        <v>711330</v>
      </c>
    </row>
    <row r="49" spans="1:10" ht="94.5">
      <c r="A49" s="296" t="s">
        <v>74</v>
      </c>
      <c r="B49" s="296" t="s">
        <v>619</v>
      </c>
      <c r="C49" s="119" t="s">
        <v>370</v>
      </c>
      <c r="D49" s="131" t="s">
        <v>620</v>
      </c>
      <c r="E49" s="124" t="s">
        <v>703</v>
      </c>
      <c r="F49" s="130" t="s">
        <v>10</v>
      </c>
      <c r="G49" s="34">
        <f>H49+I49</f>
        <v>48600</v>
      </c>
      <c r="H49" s="34"/>
      <c r="I49" s="34">
        <f>J49</f>
        <v>48600</v>
      </c>
      <c r="J49" s="34">
        <v>48600</v>
      </c>
    </row>
    <row r="50" spans="1:10" ht="94.5">
      <c r="A50" s="414" t="s">
        <v>608</v>
      </c>
      <c r="B50" s="414" t="s">
        <v>527</v>
      </c>
      <c r="C50" s="414" t="s">
        <v>370</v>
      </c>
      <c r="D50" s="427" t="s">
        <v>609</v>
      </c>
      <c r="E50" s="124" t="s">
        <v>703</v>
      </c>
      <c r="F50" s="130" t="s">
        <v>10</v>
      </c>
      <c r="G50" s="34">
        <f>H50+I50</f>
        <v>1903815</v>
      </c>
      <c r="H50" s="34"/>
      <c r="I50" s="34">
        <f t="shared" si="1"/>
        <v>1903815</v>
      </c>
      <c r="J50" s="34">
        <f>578509+138312+53021+747973+300000+60000+26000</f>
        <v>1903815</v>
      </c>
    </row>
    <row r="51" spans="1:10" ht="99" customHeight="1">
      <c r="A51" s="419"/>
      <c r="B51" s="419"/>
      <c r="C51" s="419"/>
      <c r="D51" s="430"/>
      <c r="E51" s="128" t="s">
        <v>698</v>
      </c>
      <c r="F51" s="130" t="s">
        <v>699</v>
      </c>
      <c r="G51" s="34">
        <f>H51+I51</f>
        <v>1035724</v>
      </c>
      <c r="H51" s="34"/>
      <c r="I51" s="34">
        <f t="shared" si="1"/>
        <v>1035724</v>
      </c>
      <c r="J51" s="34">
        <f>1035724</f>
        <v>1035724</v>
      </c>
    </row>
    <row r="52" spans="1:10" ht="108.75" customHeight="1">
      <c r="A52" s="119" t="s">
        <v>584</v>
      </c>
      <c r="B52" s="119" t="s">
        <v>582</v>
      </c>
      <c r="C52" s="119" t="s">
        <v>371</v>
      </c>
      <c r="D52" s="120" t="s">
        <v>583</v>
      </c>
      <c r="E52" s="124" t="s">
        <v>703</v>
      </c>
      <c r="F52" s="130" t="s">
        <v>10</v>
      </c>
      <c r="G52" s="34">
        <f t="shared" si="0"/>
        <v>3223795</v>
      </c>
      <c r="H52" s="34"/>
      <c r="I52" s="34">
        <f t="shared" si="1"/>
        <v>3223795</v>
      </c>
      <c r="J52" s="34">
        <f>2711044-1404337-190000+2155688-48600</f>
        <v>3223795</v>
      </c>
    </row>
    <row r="53" spans="1:10" ht="96" customHeight="1">
      <c r="A53" s="119" t="s">
        <v>650</v>
      </c>
      <c r="B53" s="119" t="s">
        <v>651</v>
      </c>
      <c r="C53" s="119" t="s">
        <v>652</v>
      </c>
      <c r="D53" s="123" t="s">
        <v>653</v>
      </c>
      <c r="E53" s="124" t="s">
        <v>707</v>
      </c>
      <c r="F53" s="130" t="s">
        <v>11</v>
      </c>
      <c r="G53" s="34">
        <f>H53+I53</f>
        <v>929384</v>
      </c>
      <c r="H53" s="34">
        <f>187310+219817+130294+106917+285046</f>
        <v>929384</v>
      </c>
      <c r="I53" s="34"/>
      <c r="J53" s="34"/>
    </row>
    <row r="54" spans="1:10" ht="108.75" customHeight="1">
      <c r="A54" s="119" t="s">
        <v>19</v>
      </c>
      <c r="B54" s="119" t="s">
        <v>20</v>
      </c>
      <c r="C54" s="119" t="s">
        <v>652</v>
      </c>
      <c r="D54" s="123" t="s">
        <v>21</v>
      </c>
      <c r="E54" s="120" t="s">
        <v>695</v>
      </c>
      <c r="F54" s="125" t="s">
        <v>696</v>
      </c>
      <c r="G54" s="34">
        <f>H54+I54</f>
        <v>645000</v>
      </c>
      <c r="H54" s="34">
        <f>195000+450000</f>
        <v>645000</v>
      </c>
      <c r="I54" s="34"/>
      <c r="J54" s="34"/>
    </row>
    <row r="55" spans="1:10" ht="129" customHeight="1">
      <c r="A55" s="119" t="s">
        <v>372</v>
      </c>
      <c r="B55" s="119" t="s">
        <v>373</v>
      </c>
      <c r="C55" s="119" t="s">
        <v>374</v>
      </c>
      <c r="D55" s="123" t="s">
        <v>375</v>
      </c>
      <c r="E55" s="128" t="s">
        <v>698</v>
      </c>
      <c r="F55" s="130" t="s">
        <v>699</v>
      </c>
      <c r="G55" s="34">
        <f t="shared" si="0"/>
        <v>7699146</v>
      </c>
      <c r="H55" s="34">
        <f>7500000+157091+24775</f>
        <v>7681866</v>
      </c>
      <c r="I55" s="34">
        <f>J55</f>
        <v>17280</v>
      </c>
      <c r="J55" s="34">
        <f>17280</f>
        <v>17280</v>
      </c>
    </row>
    <row r="56" spans="1:10" ht="110.25" customHeight="1">
      <c r="A56" s="435" t="s">
        <v>585</v>
      </c>
      <c r="B56" s="435" t="s">
        <v>586</v>
      </c>
      <c r="C56" s="435" t="s">
        <v>371</v>
      </c>
      <c r="D56" s="436" t="s">
        <v>587</v>
      </c>
      <c r="E56" s="120" t="s">
        <v>695</v>
      </c>
      <c r="F56" s="125" t="s">
        <v>696</v>
      </c>
      <c r="G56" s="34">
        <f t="shared" si="0"/>
        <v>11176283</v>
      </c>
      <c r="H56" s="34"/>
      <c r="I56" s="34">
        <f>J56</f>
        <v>11176283</v>
      </c>
      <c r="J56" s="34">
        <f>13750000+512640+65306+239000-4500000+40000+500000+67224-300150+222500+245292+27948+23171+134528+148824</f>
        <v>11176283</v>
      </c>
    </row>
    <row r="57" spans="1:10" ht="122.25" customHeight="1" hidden="1">
      <c r="A57" s="303"/>
      <c r="B57" s="303"/>
      <c r="C57" s="303"/>
      <c r="D57" s="418"/>
      <c r="E57" s="124" t="s">
        <v>681</v>
      </c>
      <c r="F57" s="125" t="s">
        <v>682</v>
      </c>
      <c r="G57" s="34">
        <f t="shared" si="0"/>
        <v>0</v>
      </c>
      <c r="H57" s="34"/>
      <c r="I57" s="34">
        <f>J57</f>
        <v>0</v>
      </c>
      <c r="J57" s="34">
        <f>945200-790494-154706</f>
        <v>0</v>
      </c>
    </row>
    <row r="58" spans="1:10" ht="109.5" customHeight="1">
      <c r="A58" s="119" t="s">
        <v>376</v>
      </c>
      <c r="B58" s="119" t="s">
        <v>377</v>
      </c>
      <c r="C58" s="119" t="s">
        <v>371</v>
      </c>
      <c r="D58" s="120" t="s">
        <v>378</v>
      </c>
      <c r="E58" s="120" t="s">
        <v>708</v>
      </c>
      <c r="F58" s="115" t="s">
        <v>709</v>
      </c>
      <c r="G58" s="34">
        <f t="shared" si="0"/>
        <v>29837</v>
      </c>
      <c r="H58" s="34">
        <f>25325+4512</f>
        <v>29837</v>
      </c>
      <c r="I58" s="34"/>
      <c r="J58" s="34"/>
    </row>
    <row r="59" spans="1:10" ht="99" customHeight="1">
      <c r="A59" s="414" t="s">
        <v>379</v>
      </c>
      <c r="B59" s="414" t="s">
        <v>380</v>
      </c>
      <c r="C59" s="414" t="s">
        <v>371</v>
      </c>
      <c r="D59" s="429" t="s">
        <v>381</v>
      </c>
      <c r="E59" s="120" t="s">
        <v>677</v>
      </c>
      <c r="F59" s="115" t="s">
        <v>709</v>
      </c>
      <c r="G59" s="34">
        <f t="shared" si="0"/>
        <v>2774892</v>
      </c>
      <c r="H59" s="34">
        <f>14000+36000+28618+840000+31340+98700+38420+400000+17669+195000+78000+386452+195364+32500+49982+23108+49731+10050+49958+200000</f>
        <v>2774892</v>
      </c>
      <c r="I59" s="34"/>
      <c r="J59" s="34"/>
    </row>
    <row r="60" spans="1:10" ht="78.75" customHeight="1">
      <c r="A60" s="414"/>
      <c r="B60" s="414"/>
      <c r="C60" s="414"/>
      <c r="D60" s="429"/>
      <c r="E60" s="123" t="s">
        <v>710</v>
      </c>
      <c r="F60" s="130" t="s">
        <v>247</v>
      </c>
      <c r="G60" s="34">
        <f t="shared" si="0"/>
        <v>6000</v>
      </c>
      <c r="H60" s="34">
        <v>6000</v>
      </c>
      <c r="I60" s="34"/>
      <c r="J60" s="34"/>
    </row>
    <row r="61" spans="1:10" ht="102.75" customHeight="1">
      <c r="A61" s="416"/>
      <c r="B61" s="416"/>
      <c r="C61" s="416"/>
      <c r="D61" s="413"/>
      <c r="E61" s="120" t="s">
        <v>711</v>
      </c>
      <c r="F61" s="125" t="s">
        <v>12</v>
      </c>
      <c r="G61" s="34">
        <f t="shared" si="0"/>
        <v>460000</v>
      </c>
      <c r="H61" s="34">
        <f>300000+195000-195000+100000+60000</f>
        <v>460000</v>
      </c>
      <c r="I61" s="34"/>
      <c r="J61" s="34"/>
    </row>
    <row r="62" spans="1:10" ht="116.25" customHeight="1">
      <c r="A62" s="416"/>
      <c r="B62" s="416"/>
      <c r="C62" s="416"/>
      <c r="D62" s="413"/>
      <c r="E62" s="120" t="s">
        <v>712</v>
      </c>
      <c r="F62" s="125" t="s">
        <v>713</v>
      </c>
      <c r="G62" s="34">
        <f>H62</f>
        <v>91204</v>
      </c>
      <c r="H62" s="34">
        <f>91204</f>
        <v>91204</v>
      </c>
      <c r="I62" s="34"/>
      <c r="J62" s="34"/>
    </row>
    <row r="63" spans="1:10" ht="109.5" customHeight="1">
      <c r="A63" s="416"/>
      <c r="B63" s="416"/>
      <c r="C63" s="416"/>
      <c r="D63" s="413"/>
      <c r="E63" s="120" t="s">
        <v>695</v>
      </c>
      <c r="F63" s="125" t="s">
        <v>696</v>
      </c>
      <c r="G63" s="34">
        <f t="shared" si="0"/>
        <v>954655</v>
      </c>
      <c r="H63" s="34">
        <f>456628-300000+700000+70027+28000</f>
        <v>954655</v>
      </c>
      <c r="I63" s="34"/>
      <c r="J63" s="34"/>
    </row>
    <row r="64" spans="1:10" ht="109.5" customHeight="1">
      <c r="A64" s="416"/>
      <c r="B64" s="416"/>
      <c r="C64" s="416"/>
      <c r="D64" s="413"/>
      <c r="E64" s="120" t="s">
        <v>751</v>
      </c>
      <c r="F64" s="125" t="s">
        <v>752</v>
      </c>
      <c r="G64" s="34">
        <f t="shared" si="0"/>
        <v>115731</v>
      </c>
      <c r="H64" s="34">
        <v>115731</v>
      </c>
      <c r="I64" s="34"/>
      <c r="J64" s="34"/>
    </row>
    <row r="65" spans="1:10" ht="90.75" customHeight="1">
      <c r="A65" s="416"/>
      <c r="B65" s="416"/>
      <c r="C65" s="416"/>
      <c r="D65" s="413"/>
      <c r="E65" s="128" t="s">
        <v>714</v>
      </c>
      <c r="F65" s="130" t="s">
        <v>13</v>
      </c>
      <c r="G65" s="34">
        <f t="shared" si="0"/>
        <v>645975</v>
      </c>
      <c r="H65" s="34">
        <f>90000+495127+58410-23108+25546</f>
        <v>645975</v>
      </c>
      <c r="I65" s="34"/>
      <c r="J65" s="34"/>
    </row>
    <row r="66" spans="1:10" ht="94.5">
      <c r="A66" s="119" t="s">
        <v>382</v>
      </c>
      <c r="B66" s="126">
        <v>8210</v>
      </c>
      <c r="C66" s="119" t="s">
        <v>384</v>
      </c>
      <c r="D66" s="120" t="s">
        <v>385</v>
      </c>
      <c r="E66" s="123" t="s">
        <v>715</v>
      </c>
      <c r="F66" s="125" t="s">
        <v>14</v>
      </c>
      <c r="G66" s="34">
        <f t="shared" si="0"/>
        <v>3028557</v>
      </c>
      <c r="H66" s="34">
        <f>2497345+62500+51658+417054</f>
        <v>3028557</v>
      </c>
      <c r="I66" s="34"/>
      <c r="J66" s="34"/>
    </row>
    <row r="67" spans="1:10" ht="78.75">
      <c r="A67" s="119" t="s">
        <v>386</v>
      </c>
      <c r="B67" s="119" t="s">
        <v>387</v>
      </c>
      <c r="C67" s="119" t="s">
        <v>388</v>
      </c>
      <c r="D67" s="123" t="s">
        <v>389</v>
      </c>
      <c r="E67" s="128" t="s">
        <v>716</v>
      </c>
      <c r="F67" s="130" t="s">
        <v>717</v>
      </c>
      <c r="G67" s="34">
        <f t="shared" si="0"/>
        <v>925958</v>
      </c>
      <c r="H67" s="34"/>
      <c r="I67" s="34">
        <f>212000+713958</f>
        <v>925958</v>
      </c>
      <c r="J67" s="34"/>
    </row>
    <row r="68" spans="1:10" ht="78.75">
      <c r="A68" s="119" t="s">
        <v>390</v>
      </c>
      <c r="B68" s="119" t="s">
        <v>391</v>
      </c>
      <c r="C68" s="119" t="s">
        <v>392</v>
      </c>
      <c r="D68" s="120" t="s">
        <v>393</v>
      </c>
      <c r="E68" s="120" t="s">
        <v>718</v>
      </c>
      <c r="F68" s="125" t="s">
        <v>719</v>
      </c>
      <c r="G68" s="34">
        <f t="shared" si="0"/>
        <v>818788</v>
      </c>
      <c r="H68" s="34">
        <f>749450+69338</f>
        <v>818788</v>
      </c>
      <c r="I68" s="34"/>
      <c r="J68" s="34"/>
    </row>
    <row r="69" spans="1:10" ht="99.75" customHeight="1">
      <c r="A69" s="119" t="s">
        <v>394</v>
      </c>
      <c r="B69" s="119" t="s">
        <v>395</v>
      </c>
      <c r="C69" s="119" t="s">
        <v>392</v>
      </c>
      <c r="D69" s="131" t="s">
        <v>396</v>
      </c>
      <c r="E69" s="120" t="s">
        <v>708</v>
      </c>
      <c r="F69" s="115" t="s">
        <v>709</v>
      </c>
      <c r="G69" s="34">
        <f t="shared" si="0"/>
        <v>1270255</v>
      </c>
      <c r="H69" s="34">
        <f>1070455+199800</f>
        <v>1270255</v>
      </c>
      <c r="I69" s="34"/>
      <c r="J69" s="34"/>
    </row>
    <row r="70" spans="1:10" ht="31.5" customHeight="1">
      <c r="A70" s="117" t="s">
        <v>397</v>
      </c>
      <c r="B70" s="119"/>
      <c r="C70" s="122"/>
      <c r="D70" s="132" t="s">
        <v>720</v>
      </c>
      <c r="E70" s="128"/>
      <c r="F70" s="115"/>
      <c r="G70" s="36">
        <f>G71</f>
        <v>29421697</v>
      </c>
      <c r="H70" s="36">
        <f>H71</f>
        <v>15283823</v>
      </c>
      <c r="I70" s="36">
        <f>I71</f>
        <v>14137874</v>
      </c>
      <c r="J70" s="36">
        <f>J71</f>
        <v>7482160</v>
      </c>
    </row>
    <row r="71" spans="1:10" ht="33.75" customHeight="1">
      <c r="A71" s="117" t="s">
        <v>399</v>
      </c>
      <c r="B71" s="119"/>
      <c r="C71" s="122"/>
      <c r="D71" s="132" t="s">
        <v>720</v>
      </c>
      <c r="E71" s="128"/>
      <c r="F71" s="115"/>
      <c r="G71" s="36">
        <f>H71+I71</f>
        <v>29421697</v>
      </c>
      <c r="H71" s="36">
        <f>SUM(H72:H88)</f>
        <v>15283823</v>
      </c>
      <c r="I71" s="36">
        <f>SUM(I72:I88)</f>
        <v>14137874</v>
      </c>
      <c r="J71" s="36">
        <f>SUM(J72:J88)</f>
        <v>7482160</v>
      </c>
    </row>
    <row r="72" spans="1:10" ht="94.5">
      <c r="A72" s="119" t="s">
        <v>400</v>
      </c>
      <c r="B72" s="119" t="s">
        <v>401</v>
      </c>
      <c r="C72" s="119" t="s">
        <v>306</v>
      </c>
      <c r="D72" s="123" t="s">
        <v>402</v>
      </c>
      <c r="E72" s="120" t="s">
        <v>708</v>
      </c>
      <c r="F72" s="115" t="s">
        <v>709</v>
      </c>
      <c r="G72" s="34">
        <f>H72+I72</f>
        <v>13000</v>
      </c>
      <c r="H72" s="34"/>
      <c r="I72" s="34">
        <f>J72</f>
        <v>13000</v>
      </c>
      <c r="J72" s="34">
        <v>13000</v>
      </c>
    </row>
    <row r="73" spans="1:10" ht="102" customHeight="1">
      <c r="A73" s="414" t="s">
        <v>403</v>
      </c>
      <c r="B73" s="414" t="s">
        <v>404</v>
      </c>
      <c r="C73" s="421" t="s">
        <v>405</v>
      </c>
      <c r="D73" s="413" t="s">
        <v>406</v>
      </c>
      <c r="E73" s="128" t="s">
        <v>26</v>
      </c>
      <c r="F73" s="125" t="s">
        <v>722</v>
      </c>
      <c r="G73" s="34">
        <f aca="true" t="shared" si="2" ref="G73:G86">H73+I73</f>
        <v>9153569</v>
      </c>
      <c r="H73" s="34">
        <f>3688410+175500+2800+28916-6794-16800-16000+49950</f>
        <v>3905982</v>
      </c>
      <c r="I73" s="34">
        <f>4900875+J73+225750</f>
        <v>5247587</v>
      </c>
      <c r="J73" s="34">
        <f>12000+16800+6794+16800+16000+22980+13588+16000</f>
        <v>120962</v>
      </c>
    </row>
    <row r="74" spans="1:10" ht="103.5" customHeight="1">
      <c r="A74" s="416"/>
      <c r="B74" s="416"/>
      <c r="C74" s="422"/>
      <c r="D74" s="413"/>
      <c r="E74" s="128" t="s">
        <v>723</v>
      </c>
      <c r="F74" s="125" t="s">
        <v>724</v>
      </c>
      <c r="G74" s="34">
        <f t="shared" si="2"/>
        <v>131078</v>
      </c>
      <c r="H74" s="34">
        <f>123146+7932</f>
        <v>131078</v>
      </c>
      <c r="I74" s="34"/>
      <c r="J74" s="34"/>
    </row>
    <row r="75" spans="1:10" ht="90.75" customHeight="1">
      <c r="A75" s="414" t="s">
        <v>407</v>
      </c>
      <c r="B75" s="414" t="s">
        <v>408</v>
      </c>
      <c r="C75" s="414" t="s">
        <v>409</v>
      </c>
      <c r="D75" s="429" t="s">
        <v>611</v>
      </c>
      <c r="E75" s="120" t="s">
        <v>725</v>
      </c>
      <c r="F75" s="125" t="s">
        <v>726</v>
      </c>
      <c r="G75" s="34">
        <f t="shared" si="2"/>
        <v>365148</v>
      </c>
      <c r="H75" s="34">
        <f>292950+26460+37800</f>
        <v>357210</v>
      </c>
      <c r="I75" s="34">
        <v>7938</v>
      </c>
      <c r="J75" s="34"/>
    </row>
    <row r="76" spans="1:10" ht="93" customHeight="1">
      <c r="A76" s="434"/>
      <c r="B76" s="434"/>
      <c r="C76" s="434"/>
      <c r="D76" s="413"/>
      <c r="E76" s="128" t="s">
        <v>26</v>
      </c>
      <c r="F76" s="125" t="s">
        <v>722</v>
      </c>
      <c r="G76" s="34">
        <f t="shared" si="2"/>
        <v>10463272</v>
      </c>
      <c r="H76" s="34">
        <f>6632110+697533+50000+3568+304820+50000+1380210+34340+38094+517478+804-45716-3313+6510-102723+52723-400718-56663-49185-373004</f>
        <v>8736868</v>
      </c>
      <c r="I76" s="34">
        <f>1308991+J76+212160</f>
        <v>1726404</v>
      </c>
      <c r="J76" s="34">
        <f>148120+232+56901</f>
        <v>205253</v>
      </c>
    </row>
    <row r="77" spans="1:10" ht="94.5" customHeight="1">
      <c r="A77" s="434"/>
      <c r="B77" s="434"/>
      <c r="C77" s="434"/>
      <c r="D77" s="413"/>
      <c r="E77" s="128" t="s">
        <v>723</v>
      </c>
      <c r="F77" s="125" t="s">
        <v>724</v>
      </c>
      <c r="G77" s="34">
        <f t="shared" si="2"/>
        <v>1821289</v>
      </c>
      <c r="H77" s="34">
        <v>1821289</v>
      </c>
      <c r="I77" s="34"/>
      <c r="J77" s="34"/>
    </row>
    <row r="78" spans="1:10" ht="96" customHeight="1">
      <c r="A78" s="414" t="s">
        <v>415</v>
      </c>
      <c r="B78" s="414" t="s">
        <v>344</v>
      </c>
      <c r="C78" s="414" t="s">
        <v>416</v>
      </c>
      <c r="D78" s="427" t="s">
        <v>612</v>
      </c>
      <c r="E78" s="128" t="s">
        <v>723</v>
      </c>
      <c r="F78" s="125" t="s">
        <v>724</v>
      </c>
      <c r="G78" s="34">
        <f t="shared" si="2"/>
        <v>8002</v>
      </c>
      <c r="H78" s="34">
        <v>8002</v>
      </c>
      <c r="I78" s="34"/>
      <c r="J78" s="34"/>
    </row>
    <row r="79" spans="1:10" ht="94.5">
      <c r="A79" s="415"/>
      <c r="B79" s="415"/>
      <c r="C79" s="415"/>
      <c r="D79" s="428"/>
      <c r="E79" s="128" t="s">
        <v>26</v>
      </c>
      <c r="F79" s="125" t="s">
        <v>722</v>
      </c>
      <c r="G79" s="34">
        <f t="shared" si="2"/>
        <v>36712</v>
      </c>
      <c r="H79" s="34">
        <f>35265+11119-5443-4229</f>
        <v>36712</v>
      </c>
      <c r="I79" s="34"/>
      <c r="J79" s="34"/>
    </row>
    <row r="80" spans="1:10" ht="78.75">
      <c r="A80" s="119" t="s">
        <v>417</v>
      </c>
      <c r="B80" s="119" t="s">
        <v>418</v>
      </c>
      <c r="C80" s="119" t="s">
        <v>419</v>
      </c>
      <c r="D80" s="123" t="s">
        <v>613</v>
      </c>
      <c r="E80" s="128" t="s">
        <v>723</v>
      </c>
      <c r="F80" s="125" t="s">
        <v>724</v>
      </c>
      <c r="G80" s="34">
        <f t="shared" si="2"/>
        <v>350</v>
      </c>
      <c r="H80" s="34">
        <v>350</v>
      </c>
      <c r="I80" s="34"/>
      <c r="J80" s="34"/>
    </row>
    <row r="81" spans="1:10" ht="94.5">
      <c r="A81" s="119" t="s">
        <v>420</v>
      </c>
      <c r="B81" s="119" t="s">
        <v>421</v>
      </c>
      <c r="C81" s="119" t="s">
        <v>419</v>
      </c>
      <c r="D81" s="123" t="s">
        <v>422</v>
      </c>
      <c r="E81" s="128" t="s">
        <v>26</v>
      </c>
      <c r="F81" s="125" t="s">
        <v>722</v>
      </c>
      <c r="G81" s="34">
        <f>H81+I81</f>
        <v>35000</v>
      </c>
      <c r="H81" s="34"/>
      <c r="I81" s="34">
        <f>J81</f>
        <v>35000</v>
      </c>
      <c r="J81" s="34">
        <v>35000</v>
      </c>
    </row>
    <row r="82" spans="1:10" ht="78.75">
      <c r="A82" s="119" t="s">
        <v>426</v>
      </c>
      <c r="B82" s="119" t="s">
        <v>427</v>
      </c>
      <c r="C82" s="119" t="s">
        <v>419</v>
      </c>
      <c r="D82" s="27" t="s">
        <v>428</v>
      </c>
      <c r="E82" s="128" t="s">
        <v>727</v>
      </c>
      <c r="F82" s="125" t="s">
        <v>728</v>
      </c>
      <c r="G82" s="34">
        <f t="shared" si="2"/>
        <v>255140</v>
      </c>
      <c r="H82" s="34">
        <v>255140</v>
      </c>
      <c r="I82" s="34"/>
      <c r="J82" s="34"/>
    </row>
    <row r="83" spans="1:10" ht="94.5">
      <c r="A83" s="146" t="s">
        <v>227</v>
      </c>
      <c r="B83" s="146" t="s">
        <v>228</v>
      </c>
      <c r="C83" s="146" t="s">
        <v>419</v>
      </c>
      <c r="D83" s="283" t="s">
        <v>229</v>
      </c>
      <c r="E83" s="128" t="s">
        <v>26</v>
      </c>
      <c r="F83" s="125" t="s">
        <v>722</v>
      </c>
      <c r="G83" s="34">
        <f t="shared" si="2"/>
        <v>340718</v>
      </c>
      <c r="H83" s="34"/>
      <c r="I83" s="34">
        <f>J83</f>
        <v>340718</v>
      </c>
      <c r="J83" s="34">
        <v>340718</v>
      </c>
    </row>
    <row r="84" spans="1:10" ht="107.25" customHeight="1">
      <c r="A84" s="119" t="s">
        <v>637</v>
      </c>
      <c r="B84" s="119" t="s">
        <v>638</v>
      </c>
      <c r="C84" s="119" t="s">
        <v>639</v>
      </c>
      <c r="D84" s="123" t="s">
        <v>640</v>
      </c>
      <c r="E84" s="129" t="s">
        <v>30</v>
      </c>
      <c r="F84" s="125" t="s">
        <v>729</v>
      </c>
      <c r="G84" s="34">
        <f t="shared" si="2"/>
        <v>2880</v>
      </c>
      <c r="H84" s="34">
        <v>2880</v>
      </c>
      <c r="I84" s="34"/>
      <c r="J84" s="34"/>
    </row>
    <row r="85" spans="1:10" ht="94.5">
      <c r="A85" s="414" t="s">
        <v>429</v>
      </c>
      <c r="B85" s="414" t="s">
        <v>430</v>
      </c>
      <c r="C85" s="414" t="s">
        <v>431</v>
      </c>
      <c r="D85" s="427" t="s">
        <v>432</v>
      </c>
      <c r="E85" s="128" t="s">
        <v>721</v>
      </c>
      <c r="F85" s="125" t="s">
        <v>722</v>
      </c>
      <c r="G85" s="34">
        <f t="shared" si="2"/>
        <v>28265</v>
      </c>
      <c r="H85" s="34">
        <f>23265-5000</f>
        <v>18265</v>
      </c>
      <c r="I85" s="34">
        <f>J85</f>
        <v>10000</v>
      </c>
      <c r="J85" s="34">
        <v>10000</v>
      </c>
    </row>
    <row r="86" spans="1:10" ht="78.75">
      <c r="A86" s="416"/>
      <c r="B86" s="416"/>
      <c r="C86" s="416"/>
      <c r="D86" s="427"/>
      <c r="E86" s="128" t="s">
        <v>723</v>
      </c>
      <c r="F86" s="125" t="s">
        <v>724</v>
      </c>
      <c r="G86" s="34">
        <f t="shared" si="2"/>
        <v>10047</v>
      </c>
      <c r="H86" s="34">
        <v>10047</v>
      </c>
      <c r="I86" s="34"/>
      <c r="J86" s="34"/>
    </row>
    <row r="87" spans="1:10" ht="103.5" customHeight="1">
      <c r="A87" s="119" t="s">
        <v>615</v>
      </c>
      <c r="B87" s="119" t="s">
        <v>616</v>
      </c>
      <c r="C87" s="119" t="s">
        <v>370</v>
      </c>
      <c r="D87" s="123" t="s">
        <v>617</v>
      </c>
      <c r="E87" s="128" t="s">
        <v>26</v>
      </c>
      <c r="F87" s="125" t="s">
        <v>722</v>
      </c>
      <c r="G87" s="34">
        <f>H87+I87</f>
        <v>6757227</v>
      </c>
      <c r="H87" s="34"/>
      <c r="I87" s="34">
        <f>J87</f>
        <v>6757227</v>
      </c>
      <c r="J87" s="34">
        <f>3545137+251261+46683+2049486+40989+3313+60000+56663+49185+49900+62848+45503+4229+373004+10096+49899+59031</f>
        <v>6757227</v>
      </c>
    </row>
    <row r="88" spans="1:10" ht="94.5" hidden="1">
      <c r="A88" s="119" t="s">
        <v>581</v>
      </c>
      <c r="B88" s="119" t="s">
        <v>582</v>
      </c>
      <c r="C88" s="119" t="s">
        <v>371</v>
      </c>
      <c r="D88" s="123" t="s">
        <v>583</v>
      </c>
      <c r="E88" s="124" t="s">
        <v>703</v>
      </c>
      <c r="F88" s="130" t="s">
        <v>704</v>
      </c>
      <c r="G88" s="34">
        <f>H88+I88</f>
        <v>0</v>
      </c>
      <c r="H88" s="34"/>
      <c r="I88" s="34">
        <f>J88</f>
        <v>0</v>
      </c>
      <c r="J88" s="34">
        <f>597771-597771</f>
        <v>0</v>
      </c>
    </row>
    <row r="89" spans="1:10" ht="48.75" customHeight="1">
      <c r="A89" s="117" t="s">
        <v>433</v>
      </c>
      <c r="B89" s="133"/>
      <c r="C89" s="122"/>
      <c r="D89" s="132" t="s">
        <v>434</v>
      </c>
      <c r="E89" s="128"/>
      <c r="F89" s="115"/>
      <c r="G89" s="36">
        <f>G90</f>
        <v>5699566</v>
      </c>
      <c r="H89" s="36">
        <f>H90</f>
        <v>5641662</v>
      </c>
      <c r="I89" s="36">
        <f>I90</f>
        <v>57904</v>
      </c>
      <c r="J89" s="36">
        <f>J90</f>
        <v>57904</v>
      </c>
    </row>
    <row r="90" spans="1:10" ht="50.25" customHeight="1">
      <c r="A90" s="117" t="s">
        <v>435</v>
      </c>
      <c r="B90" s="133"/>
      <c r="C90" s="122"/>
      <c r="D90" s="132" t="s">
        <v>434</v>
      </c>
      <c r="E90" s="128"/>
      <c r="F90" s="115"/>
      <c r="G90" s="36">
        <f>SUM(G91:G106)</f>
        <v>5699566</v>
      </c>
      <c r="H90" s="36">
        <f>SUM(H91:H106)</f>
        <v>5641662</v>
      </c>
      <c r="I90" s="36">
        <f>SUM(I91:I106)</f>
        <v>57904</v>
      </c>
      <c r="J90" s="36">
        <f>SUM(J91:J106)</f>
        <v>57904</v>
      </c>
    </row>
    <row r="91" spans="1:10" ht="55.5" customHeight="1">
      <c r="A91" s="119" t="s">
        <v>545</v>
      </c>
      <c r="B91" s="119" t="s">
        <v>546</v>
      </c>
      <c r="C91" s="119" t="s">
        <v>340</v>
      </c>
      <c r="D91" s="123" t="s">
        <v>547</v>
      </c>
      <c r="E91" s="425" t="s">
        <v>685</v>
      </c>
      <c r="F91" s="426" t="s">
        <v>686</v>
      </c>
      <c r="G91" s="34">
        <f>H91+I91</f>
        <v>22260</v>
      </c>
      <c r="H91" s="34">
        <v>22260</v>
      </c>
      <c r="I91" s="34"/>
      <c r="J91" s="34"/>
    </row>
    <row r="92" spans="1:10" ht="36.75" customHeight="1">
      <c r="A92" s="119" t="s">
        <v>548</v>
      </c>
      <c r="B92" s="119" t="s">
        <v>549</v>
      </c>
      <c r="C92" s="119" t="s">
        <v>550</v>
      </c>
      <c r="D92" s="123" t="s">
        <v>551</v>
      </c>
      <c r="E92" s="301"/>
      <c r="F92" s="302"/>
      <c r="G92" s="34">
        <f aca="true" t="shared" si="3" ref="G92:G106">H92+I92</f>
        <v>122309</v>
      </c>
      <c r="H92" s="34">
        <f>155360-33051</f>
        <v>122309</v>
      </c>
      <c r="I92" s="34"/>
      <c r="J92" s="34"/>
    </row>
    <row r="93" spans="1:10" ht="52.5" customHeight="1">
      <c r="A93" s="119" t="s">
        <v>552</v>
      </c>
      <c r="B93" s="119" t="s">
        <v>553</v>
      </c>
      <c r="C93" s="119" t="s">
        <v>550</v>
      </c>
      <c r="D93" s="123" t="s">
        <v>554</v>
      </c>
      <c r="E93" s="301"/>
      <c r="F93" s="302"/>
      <c r="G93" s="34">
        <f t="shared" si="3"/>
        <v>2189367</v>
      </c>
      <c r="H93" s="34">
        <f>2800000-450000-160633</f>
        <v>2189367</v>
      </c>
      <c r="I93" s="34"/>
      <c r="J93" s="34"/>
    </row>
    <row r="94" spans="1:10" ht="54" customHeight="1">
      <c r="A94" s="119" t="s">
        <v>555</v>
      </c>
      <c r="B94" s="119" t="s">
        <v>556</v>
      </c>
      <c r="C94" s="119" t="s">
        <v>550</v>
      </c>
      <c r="D94" s="123" t="s">
        <v>557</v>
      </c>
      <c r="E94" s="301"/>
      <c r="F94" s="302"/>
      <c r="G94" s="34">
        <f t="shared" si="3"/>
        <v>97607</v>
      </c>
      <c r="H94" s="34">
        <f>153000-55393</f>
        <v>97607</v>
      </c>
      <c r="I94" s="34"/>
      <c r="J94" s="34"/>
    </row>
    <row r="95" spans="1:10" ht="72.75" customHeight="1">
      <c r="A95" s="119" t="s">
        <v>437</v>
      </c>
      <c r="B95" s="119" t="s">
        <v>438</v>
      </c>
      <c r="C95" s="119" t="s">
        <v>408</v>
      </c>
      <c r="D95" s="123" t="s">
        <v>439</v>
      </c>
      <c r="E95" s="314"/>
      <c r="F95" s="303"/>
      <c r="G95" s="34">
        <f t="shared" si="3"/>
        <v>99871</v>
      </c>
      <c r="H95" s="34">
        <f>49909+49962</f>
        <v>99871</v>
      </c>
      <c r="I95" s="34"/>
      <c r="J95" s="34"/>
    </row>
    <row r="96" spans="1:10" ht="72" customHeight="1">
      <c r="A96" s="119" t="s">
        <v>443</v>
      </c>
      <c r="B96" s="119" t="s">
        <v>444</v>
      </c>
      <c r="C96" s="119" t="s">
        <v>336</v>
      </c>
      <c r="D96" s="123" t="s">
        <v>445</v>
      </c>
      <c r="E96" s="431" t="s">
        <v>191</v>
      </c>
      <c r="F96" s="432" t="s">
        <v>15</v>
      </c>
      <c r="G96" s="34">
        <f t="shared" si="3"/>
        <v>637299</v>
      </c>
      <c r="H96" s="34">
        <f>605597+15045+16657</f>
        <v>637299</v>
      </c>
      <c r="I96" s="34"/>
      <c r="J96" s="34"/>
    </row>
    <row r="97" spans="1:10" ht="24" customHeight="1">
      <c r="A97" s="119" t="s">
        <v>446</v>
      </c>
      <c r="B97" s="119" t="s">
        <v>447</v>
      </c>
      <c r="C97" s="119" t="s">
        <v>336</v>
      </c>
      <c r="D97" s="120" t="s">
        <v>730</v>
      </c>
      <c r="E97" s="428"/>
      <c r="F97" s="305"/>
      <c r="G97" s="34">
        <f t="shared" si="3"/>
        <v>5000</v>
      </c>
      <c r="H97" s="34">
        <v>5000</v>
      </c>
      <c r="I97" s="34"/>
      <c r="J97" s="34"/>
    </row>
    <row r="98" spans="1:10" ht="70.5" customHeight="1">
      <c r="A98" s="119" t="s">
        <v>558</v>
      </c>
      <c r="B98" s="119" t="s">
        <v>559</v>
      </c>
      <c r="C98" s="119" t="s">
        <v>404</v>
      </c>
      <c r="D98" s="120" t="s">
        <v>731</v>
      </c>
      <c r="E98" s="442" t="s">
        <v>685</v>
      </c>
      <c r="F98" s="422" t="s">
        <v>686</v>
      </c>
      <c r="G98" s="34">
        <f t="shared" si="3"/>
        <v>490619</v>
      </c>
      <c r="H98" s="34">
        <f>606834-55554-60661</f>
        <v>490619</v>
      </c>
      <c r="I98" s="34"/>
      <c r="J98" s="34"/>
    </row>
    <row r="99" spans="1:10" ht="69.75" customHeight="1">
      <c r="A99" s="119" t="s">
        <v>561</v>
      </c>
      <c r="B99" s="119" t="s">
        <v>562</v>
      </c>
      <c r="C99" s="119" t="s">
        <v>563</v>
      </c>
      <c r="D99" s="123" t="s">
        <v>732</v>
      </c>
      <c r="E99" s="430"/>
      <c r="F99" s="305"/>
      <c r="G99" s="34">
        <f t="shared" si="3"/>
        <v>310827</v>
      </c>
      <c r="H99" s="34">
        <f>310166+661</f>
        <v>310827</v>
      </c>
      <c r="I99" s="34"/>
      <c r="J99" s="34"/>
    </row>
    <row r="100" spans="1:10" ht="31.5">
      <c r="A100" s="119" t="s">
        <v>565</v>
      </c>
      <c r="B100" s="119" t="s">
        <v>339</v>
      </c>
      <c r="C100" s="119" t="s">
        <v>340</v>
      </c>
      <c r="D100" s="123" t="s">
        <v>341</v>
      </c>
      <c r="E100" s="430"/>
      <c r="F100" s="305"/>
      <c r="G100" s="34">
        <f t="shared" si="3"/>
        <v>251878</v>
      </c>
      <c r="H100" s="34">
        <f>253324+50000-51446</f>
        <v>251878</v>
      </c>
      <c r="I100" s="34"/>
      <c r="J100" s="34"/>
    </row>
    <row r="101" spans="1:10" ht="56.25" customHeight="1">
      <c r="A101" s="119" t="s">
        <v>566</v>
      </c>
      <c r="B101" s="119" t="s">
        <v>567</v>
      </c>
      <c r="C101" s="119" t="s">
        <v>340</v>
      </c>
      <c r="D101" s="123" t="s">
        <v>733</v>
      </c>
      <c r="E101" s="430"/>
      <c r="F101" s="305"/>
      <c r="G101" s="34">
        <f t="shared" si="3"/>
        <v>497450</v>
      </c>
      <c r="H101" s="34">
        <f>300000+100000+13958+63420+20072</f>
        <v>497450</v>
      </c>
      <c r="I101" s="34"/>
      <c r="J101" s="34"/>
    </row>
    <row r="102" spans="1:10" ht="87.75" customHeight="1">
      <c r="A102" s="119" t="s">
        <v>661</v>
      </c>
      <c r="B102" s="119" t="s">
        <v>638</v>
      </c>
      <c r="C102" s="119" t="s">
        <v>639</v>
      </c>
      <c r="D102" s="123" t="s">
        <v>640</v>
      </c>
      <c r="E102" s="129" t="s">
        <v>30</v>
      </c>
      <c r="F102" s="125" t="s">
        <v>729</v>
      </c>
      <c r="G102" s="34">
        <f t="shared" si="3"/>
        <v>11520</v>
      </c>
      <c r="H102" s="34">
        <v>11520</v>
      </c>
      <c r="I102" s="34"/>
      <c r="J102" s="34"/>
    </row>
    <row r="103" spans="1:10" ht="95.25" customHeight="1">
      <c r="A103" s="119" t="s">
        <v>569</v>
      </c>
      <c r="B103" s="119" t="s">
        <v>343</v>
      </c>
      <c r="C103" s="122" t="s">
        <v>344</v>
      </c>
      <c r="D103" s="134" t="s">
        <v>734</v>
      </c>
      <c r="E103" s="197" t="s">
        <v>685</v>
      </c>
      <c r="F103" s="115" t="s">
        <v>686</v>
      </c>
      <c r="G103" s="34">
        <f t="shared" si="3"/>
        <v>879380</v>
      </c>
      <c r="H103" s="34">
        <f>789380+60000+30000</f>
        <v>879380</v>
      </c>
      <c r="I103" s="34"/>
      <c r="J103" s="34"/>
    </row>
    <row r="104" spans="1:10" ht="80.25" customHeight="1">
      <c r="A104" s="119" t="s">
        <v>248</v>
      </c>
      <c r="B104" s="119" t="s">
        <v>249</v>
      </c>
      <c r="C104" s="122" t="s">
        <v>370</v>
      </c>
      <c r="D104" s="134" t="s">
        <v>250</v>
      </c>
      <c r="E104" s="197" t="s">
        <v>256</v>
      </c>
      <c r="F104" s="115" t="s">
        <v>215</v>
      </c>
      <c r="G104" s="34">
        <f t="shared" si="3"/>
        <v>6444</v>
      </c>
      <c r="H104" s="34"/>
      <c r="I104" s="34">
        <f>J104</f>
        <v>6444</v>
      </c>
      <c r="J104" s="34">
        <v>6444</v>
      </c>
    </row>
    <row r="105" spans="1:10" ht="102" customHeight="1">
      <c r="A105" s="119" t="s">
        <v>660</v>
      </c>
      <c r="B105" s="119" t="s">
        <v>527</v>
      </c>
      <c r="C105" s="119" t="s">
        <v>370</v>
      </c>
      <c r="D105" s="123" t="s">
        <v>609</v>
      </c>
      <c r="E105" s="197" t="s">
        <v>685</v>
      </c>
      <c r="F105" s="115" t="s">
        <v>686</v>
      </c>
      <c r="G105" s="34">
        <f>H105+I105</f>
        <v>51460</v>
      </c>
      <c r="H105" s="34"/>
      <c r="I105" s="34">
        <f>J105</f>
        <v>51460</v>
      </c>
      <c r="J105" s="34">
        <v>51460</v>
      </c>
    </row>
    <row r="106" spans="1:10" ht="94.5">
      <c r="A106" s="119" t="s">
        <v>570</v>
      </c>
      <c r="B106" s="119" t="s">
        <v>380</v>
      </c>
      <c r="C106" s="119" t="s">
        <v>371</v>
      </c>
      <c r="D106" s="123" t="s">
        <v>381</v>
      </c>
      <c r="E106" s="128" t="s">
        <v>735</v>
      </c>
      <c r="F106" s="130" t="s">
        <v>736</v>
      </c>
      <c r="G106" s="34">
        <f t="shared" si="3"/>
        <v>26275</v>
      </c>
      <c r="H106" s="34">
        <f>35698-9423</f>
        <v>26275</v>
      </c>
      <c r="I106" s="34"/>
      <c r="J106" s="34"/>
    </row>
    <row r="107" spans="1:10" ht="42.75" customHeight="1">
      <c r="A107" s="117" t="s">
        <v>449</v>
      </c>
      <c r="B107" s="133"/>
      <c r="C107" s="122"/>
      <c r="D107" s="135" t="s">
        <v>737</v>
      </c>
      <c r="E107" s="123"/>
      <c r="F107" s="115"/>
      <c r="G107" s="36">
        <f>G108</f>
        <v>4711303</v>
      </c>
      <c r="H107" s="36">
        <f>H108</f>
        <v>1692568</v>
      </c>
      <c r="I107" s="36">
        <f>I108</f>
        <v>3018735</v>
      </c>
      <c r="J107" s="36">
        <f>J108</f>
        <v>3018735</v>
      </c>
    </row>
    <row r="108" spans="1:10" ht="43.5" customHeight="1">
      <c r="A108" s="117" t="s">
        <v>451</v>
      </c>
      <c r="B108" s="133"/>
      <c r="C108" s="122"/>
      <c r="D108" s="135" t="s">
        <v>737</v>
      </c>
      <c r="E108" s="123"/>
      <c r="F108" s="115"/>
      <c r="G108" s="36">
        <f aca="true" t="shared" si="4" ref="G108:G116">H108+I108</f>
        <v>4711303</v>
      </c>
      <c r="H108" s="36">
        <f>SUM(H109:H117)</f>
        <v>1692568</v>
      </c>
      <c r="I108" s="36">
        <f>SUM(I109:I117)</f>
        <v>3018735</v>
      </c>
      <c r="J108" s="36">
        <f>SUM(J109:J117)</f>
        <v>3018735</v>
      </c>
    </row>
    <row r="109" spans="1:10" ht="43.5" customHeight="1">
      <c r="A109" s="119" t="s">
        <v>453</v>
      </c>
      <c r="B109" s="119" t="s">
        <v>454</v>
      </c>
      <c r="C109" s="119" t="s">
        <v>416</v>
      </c>
      <c r="D109" s="123" t="s">
        <v>614</v>
      </c>
      <c r="E109" s="417" t="s">
        <v>738</v>
      </c>
      <c r="F109" s="426" t="s">
        <v>739</v>
      </c>
      <c r="G109" s="34">
        <f t="shared" si="4"/>
        <v>16681</v>
      </c>
      <c r="H109" s="34">
        <v>16681</v>
      </c>
      <c r="I109" s="34"/>
      <c r="J109" s="34"/>
    </row>
    <row r="110" spans="1:10" ht="21" customHeight="1">
      <c r="A110" s="119" t="s">
        <v>455</v>
      </c>
      <c r="B110" s="119" t="s">
        <v>456</v>
      </c>
      <c r="C110" s="119" t="s">
        <v>457</v>
      </c>
      <c r="D110" s="123" t="s">
        <v>458</v>
      </c>
      <c r="E110" s="301"/>
      <c r="F110" s="302"/>
      <c r="G110" s="34">
        <f t="shared" si="4"/>
        <v>50419</v>
      </c>
      <c r="H110" s="34">
        <f>50419-40000</f>
        <v>10419</v>
      </c>
      <c r="I110" s="34">
        <f>J110</f>
        <v>40000</v>
      </c>
      <c r="J110" s="34">
        <v>40000</v>
      </c>
    </row>
    <row r="111" spans="1:10" ht="21" customHeight="1">
      <c r="A111" s="119" t="s">
        <v>459</v>
      </c>
      <c r="B111" s="119" t="s">
        <v>460</v>
      </c>
      <c r="C111" s="119" t="s">
        <v>457</v>
      </c>
      <c r="D111" s="123" t="s">
        <v>461</v>
      </c>
      <c r="E111" s="301"/>
      <c r="F111" s="302"/>
      <c r="G111" s="34">
        <f t="shared" si="4"/>
        <v>71659</v>
      </c>
      <c r="H111" s="34">
        <f>22561+22739+26359</f>
        <v>71659</v>
      </c>
      <c r="I111" s="34"/>
      <c r="J111" s="34"/>
    </row>
    <row r="112" spans="1:10" ht="60.75" customHeight="1">
      <c r="A112" s="119" t="s">
        <v>462</v>
      </c>
      <c r="B112" s="119" t="s">
        <v>463</v>
      </c>
      <c r="C112" s="119" t="s">
        <v>464</v>
      </c>
      <c r="D112" s="120" t="s">
        <v>465</v>
      </c>
      <c r="E112" s="314"/>
      <c r="F112" s="303"/>
      <c r="G112" s="34">
        <f t="shared" si="4"/>
        <v>1057981</v>
      </c>
      <c r="H112" s="34">
        <f>19422+46596+46700+49600+28463</f>
        <v>190781</v>
      </c>
      <c r="I112" s="34">
        <f>J112</f>
        <v>867200</v>
      </c>
      <c r="J112" s="34">
        <f>845082+30600-8482</f>
        <v>867200</v>
      </c>
    </row>
    <row r="113" spans="1:10" ht="94.5">
      <c r="A113" s="414" t="s">
        <v>470</v>
      </c>
      <c r="B113" s="416">
        <v>4082</v>
      </c>
      <c r="C113" s="421" t="s">
        <v>468</v>
      </c>
      <c r="D113" s="423" t="s">
        <v>472</v>
      </c>
      <c r="E113" s="120" t="s">
        <v>738</v>
      </c>
      <c r="F113" s="125" t="s">
        <v>739</v>
      </c>
      <c r="G113" s="34">
        <f t="shared" si="4"/>
        <v>1204850</v>
      </c>
      <c r="H113" s="34">
        <f>1105850-12078-12822+107900+16000</f>
        <v>1204850</v>
      </c>
      <c r="I113" s="34"/>
      <c r="J113" s="34"/>
    </row>
    <row r="114" spans="1:10" ht="114.75" customHeight="1">
      <c r="A114" s="414"/>
      <c r="B114" s="416"/>
      <c r="C114" s="422"/>
      <c r="D114" s="423"/>
      <c r="E114" s="120" t="s">
        <v>711</v>
      </c>
      <c r="F114" s="125" t="s">
        <v>12</v>
      </c>
      <c r="G114" s="34">
        <f t="shared" si="4"/>
        <v>118178</v>
      </c>
      <c r="H114" s="34">
        <f>145000+47245-49869-24198</f>
        <v>118178</v>
      </c>
      <c r="I114" s="34"/>
      <c r="J114" s="34"/>
    </row>
    <row r="115" spans="1:10" ht="42" customHeight="1">
      <c r="A115" s="119" t="s">
        <v>641</v>
      </c>
      <c r="B115" s="119" t="s">
        <v>642</v>
      </c>
      <c r="C115" s="119" t="s">
        <v>370</v>
      </c>
      <c r="D115" s="123" t="s">
        <v>643</v>
      </c>
      <c r="E115" s="417" t="s">
        <v>738</v>
      </c>
      <c r="F115" s="426" t="s">
        <v>739</v>
      </c>
      <c r="G115" s="34">
        <f t="shared" si="4"/>
        <v>1911535</v>
      </c>
      <c r="H115" s="34"/>
      <c r="I115" s="34">
        <f>J115</f>
        <v>1911535</v>
      </c>
      <c r="J115" s="34">
        <f>297892+600000+1013643</f>
        <v>1911535</v>
      </c>
    </row>
    <row r="116" spans="1:10" ht="57" customHeight="1">
      <c r="A116" s="119" t="s">
        <v>644</v>
      </c>
      <c r="B116" s="119" t="s">
        <v>645</v>
      </c>
      <c r="C116" s="119" t="s">
        <v>370</v>
      </c>
      <c r="D116" s="123" t="s">
        <v>646</v>
      </c>
      <c r="E116" s="433"/>
      <c r="F116" s="302"/>
      <c r="G116" s="34">
        <f t="shared" si="4"/>
        <v>200000</v>
      </c>
      <c r="H116" s="34"/>
      <c r="I116" s="34">
        <f>J116</f>
        <v>200000</v>
      </c>
      <c r="J116" s="34">
        <f>200000</f>
        <v>200000</v>
      </c>
    </row>
    <row r="117" spans="1:10" ht="46.5" customHeight="1">
      <c r="A117" s="119" t="s">
        <v>473</v>
      </c>
      <c r="B117" s="126">
        <v>7622</v>
      </c>
      <c r="C117" s="122" t="s">
        <v>475</v>
      </c>
      <c r="D117" s="134" t="s">
        <v>740</v>
      </c>
      <c r="E117" s="418"/>
      <c r="F117" s="303"/>
      <c r="G117" s="34">
        <f>H117</f>
        <v>80000</v>
      </c>
      <c r="H117" s="34">
        <f>80000+80000-80000</f>
        <v>80000</v>
      </c>
      <c r="I117" s="34"/>
      <c r="J117" s="34"/>
    </row>
    <row r="118" spans="1:10" ht="41.25" customHeight="1">
      <c r="A118" s="117" t="s">
        <v>477</v>
      </c>
      <c r="B118" s="133"/>
      <c r="C118" s="122"/>
      <c r="D118" s="132" t="s">
        <v>478</v>
      </c>
      <c r="E118" s="128"/>
      <c r="F118" s="130"/>
      <c r="G118" s="36">
        <f>G119</f>
        <v>8558908</v>
      </c>
      <c r="H118" s="36">
        <f>H119</f>
        <v>6770612</v>
      </c>
      <c r="I118" s="36">
        <f>I119</f>
        <v>1788296</v>
      </c>
      <c r="J118" s="36">
        <f>J119</f>
        <v>1788296</v>
      </c>
    </row>
    <row r="119" spans="1:10" ht="40.5" customHeight="1">
      <c r="A119" s="117" t="s">
        <v>479</v>
      </c>
      <c r="B119" s="133"/>
      <c r="C119" s="122"/>
      <c r="D119" s="132" t="s">
        <v>478</v>
      </c>
      <c r="E119" s="128"/>
      <c r="F119" s="130"/>
      <c r="G119" s="36">
        <f>SUM(G120:G131)</f>
        <v>8558908</v>
      </c>
      <c r="H119" s="36">
        <f>SUM(H120:H131)</f>
        <v>6770612</v>
      </c>
      <c r="I119" s="36">
        <f>SUM(I120:I131)</f>
        <v>1788296</v>
      </c>
      <c r="J119" s="36">
        <f>SUM(J120:J131)</f>
        <v>1788296</v>
      </c>
    </row>
    <row r="120" spans="1:10" ht="84.75" customHeight="1">
      <c r="A120" s="119" t="s">
        <v>481</v>
      </c>
      <c r="B120" s="119" t="s">
        <v>482</v>
      </c>
      <c r="C120" s="122" t="s">
        <v>336</v>
      </c>
      <c r="D120" s="120" t="s">
        <v>483</v>
      </c>
      <c r="E120" s="27" t="s">
        <v>741</v>
      </c>
      <c r="F120" s="125" t="s">
        <v>742</v>
      </c>
      <c r="G120" s="34">
        <f>H120+I120</f>
        <v>100700</v>
      </c>
      <c r="H120" s="34">
        <f>70700+30000</f>
        <v>100700</v>
      </c>
      <c r="I120" s="34"/>
      <c r="J120" s="34"/>
    </row>
    <row r="121" spans="1:10" ht="78.75" hidden="1">
      <c r="A121" s="119" t="s">
        <v>484</v>
      </c>
      <c r="B121" s="119" t="s">
        <v>485</v>
      </c>
      <c r="C121" s="122" t="s">
        <v>336</v>
      </c>
      <c r="D121" s="120" t="s">
        <v>743</v>
      </c>
      <c r="E121" s="120" t="s">
        <v>725</v>
      </c>
      <c r="F121" s="125" t="s">
        <v>726</v>
      </c>
      <c r="G121" s="34">
        <f aca="true" t="shared" si="5" ref="G121:G131">H121+I121</f>
        <v>0</v>
      </c>
      <c r="H121" s="34">
        <f>361200-361200</f>
        <v>0</v>
      </c>
      <c r="I121" s="34"/>
      <c r="J121" s="34"/>
    </row>
    <row r="122" spans="1:10" ht="90" customHeight="1" hidden="1">
      <c r="A122" s="119" t="s">
        <v>662</v>
      </c>
      <c r="B122" s="119" t="s">
        <v>638</v>
      </c>
      <c r="C122" s="119" t="s">
        <v>639</v>
      </c>
      <c r="D122" s="123" t="s">
        <v>640</v>
      </c>
      <c r="E122" s="129" t="s">
        <v>30</v>
      </c>
      <c r="F122" s="125" t="s">
        <v>729</v>
      </c>
      <c r="G122" s="34">
        <f>H122+I122</f>
        <v>0</v>
      </c>
      <c r="H122" s="34">
        <f>11520-11520</f>
        <v>0</v>
      </c>
      <c r="I122" s="34"/>
      <c r="J122" s="34"/>
    </row>
    <row r="123" spans="1:10" ht="117" customHeight="1">
      <c r="A123" s="420">
        <v>1115011</v>
      </c>
      <c r="B123" s="420">
        <v>5011</v>
      </c>
      <c r="C123" s="421" t="s">
        <v>431</v>
      </c>
      <c r="D123" s="413" t="s">
        <v>744</v>
      </c>
      <c r="E123" s="27" t="s">
        <v>745</v>
      </c>
      <c r="F123" s="125" t="s">
        <v>746</v>
      </c>
      <c r="G123" s="34">
        <f t="shared" si="5"/>
        <v>244076</v>
      </c>
      <c r="H123" s="34">
        <f>303040-51659-2780-4525</f>
        <v>244076</v>
      </c>
      <c r="I123" s="34"/>
      <c r="J123" s="34"/>
    </row>
    <row r="124" spans="1:10" ht="96.75" customHeight="1">
      <c r="A124" s="420"/>
      <c r="B124" s="420"/>
      <c r="C124" s="421"/>
      <c r="D124" s="413"/>
      <c r="E124" s="120" t="s">
        <v>711</v>
      </c>
      <c r="F124" s="125" t="s">
        <v>12</v>
      </c>
      <c r="G124" s="34">
        <f t="shared" si="5"/>
        <v>69609</v>
      </c>
      <c r="H124" s="34">
        <f>136960-25200-42151</f>
        <v>69609</v>
      </c>
      <c r="I124" s="34"/>
      <c r="J124" s="34"/>
    </row>
    <row r="125" spans="1:10" ht="105.75" customHeight="1">
      <c r="A125" s="127">
        <v>1115041</v>
      </c>
      <c r="B125" s="127">
        <v>5041</v>
      </c>
      <c r="C125" s="122" t="s">
        <v>431</v>
      </c>
      <c r="D125" s="120" t="s">
        <v>493</v>
      </c>
      <c r="E125" s="27" t="s">
        <v>745</v>
      </c>
      <c r="F125" s="125" t="s">
        <v>746</v>
      </c>
      <c r="G125" s="34">
        <f t="shared" si="5"/>
        <v>4354762</v>
      </c>
      <c r="H125" s="34">
        <f>3651500+85835+199300+73876+12981+49950+183600+14320+71880+11520</f>
        <v>4354762</v>
      </c>
      <c r="I125" s="34"/>
      <c r="J125" s="34"/>
    </row>
    <row r="126" spans="1:10" ht="121.5" customHeight="1">
      <c r="A126" s="420">
        <v>1115062</v>
      </c>
      <c r="B126" s="420">
        <v>5062</v>
      </c>
      <c r="C126" s="421" t="s">
        <v>431</v>
      </c>
      <c r="D126" s="413" t="s">
        <v>747</v>
      </c>
      <c r="E126" s="27" t="s">
        <v>745</v>
      </c>
      <c r="F126" s="125" t="s">
        <v>746</v>
      </c>
      <c r="G126" s="34">
        <f t="shared" si="5"/>
        <v>345640</v>
      </c>
      <c r="H126" s="34">
        <f>100000+245640</f>
        <v>345640</v>
      </c>
      <c r="I126" s="34"/>
      <c r="J126" s="34"/>
    </row>
    <row r="127" spans="1:10" ht="78.75">
      <c r="A127" s="420"/>
      <c r="B127" s="420"/>
      <c r="C127" s="421"/>
      <c r="D127" s="424"/>
      <c r="E127" s="128" t="s">
        <v>748</v>
      </c>
      <c r="F127" s="125" t="s">
        <v>749</v>
      </c>
      <c r="G127" s="34">
        <f t="shared" si="5"/>
        <v>1651300</v>
      </c>
      <c r="H127" s="34">
        <f>1284560+19550+54298+248892+44000</f>
        <v>1651300</v>
      </c>
      <c r="I127" s="34"/>
      <c r="J127" s="34"/>
    </row>
    <row r="128" spans="1:10" ht="94.5">
      <c r="A128" s="119" t="s">
        <v>618</v>
      </c>
      <c r="B128" s="119" t="s">
        <v>619</v>
      </c>
      <c r="C128" s="119" t="s">
        <v>370</v>
      </c>
      <c r="D128" s="131" t="s">
        <v>620</v>
      </c>
      <c r="E128" s="27" t="s">
        <v>745</v>
      </c>
      <c r="F128" s="125" t="s">
        <v>746</v>
      </c>
      <c r="G128" s="34">
        <f>H128+I128</f>
        <v>575498</v>
      </c>
      <c r="H128" s="34"/>
      <c r="I128" s="34">
        <f>J128</f>
        <v>575498</v>
      </c>
      <c r="J128" s="34">
        <f>575498+50006-50006</f>
        <v>575498</v>
      </c>
    </row>
    <row r="129" spans="1:10" ht="99" customHeight="1">
      <c r="A129" s="119" t="s">
        <v>610</v>
      </c>
      <c r="B129" s="119" t="s">
        <v>582</v>
      </c>
      <c r="C129" s="119" t="s">
        <v>371</v>
      </c>
      <c r="D129" s="123" t="s">
        <v>583</v>
      </c>
      <c r="E129" s="27" t="s">
        <v>745</v>
      </c>
      <c r="F129" s="125" t="s">
        <v>746</v>
      </c>
      <c r="G129" s="34">
        <f>H129+I129</f>
        <v>892798</v>
      </c>
      <c r="H129" s="34"/>
      <c r="I129" s="34">
        <f>J129</f>
        <v>892798</v>
      </c>
      <c r="J129" s="34">
        <f>174734+738383-20319</f>
        <v>892798</v>
      </c>
    </row>
    <row r="130" spans="1:10" ht="99" customHeight="1">
      <c r="A130" s="119" t="s">
        <v>252</v>
      </c>
      <c r="B130" s="119" t="s">
        <v>586</v>
      </c>
      <c r="C130" s="119" t="s">
        <v>371</v>
      </c>
      <c r="D130" s="289" t="s">
        <v>587</v>
      </c>
      <c r="E130" s="27" t="s">
        <v>745</v>
      </c>
      <c r="F130" s="125" t="s">
        <v>746</v>
      </c>
      <c r="G130" s="34">
        <f>H130+I130</f>
        <v>320000</v>
      </c>
      <c r="H130" s="34"/>
      <c r="I130" s="34">
        <f>J130</f>
        <v>320000</v>
      </c>
      <c r="J130" s="34">
        <v>320000</v>
      </c>
    </row>
    <row r="131" spans="1:10" ht="101.25" customHeight="1">
      <c r="A131" s="127">
        <v>1117693</v>
      </c>
      <c r="B131" s="127">
        <v>7693</v>
      </c>
      <c r="C131" s="122" t="s">
        <v>371</v>
      </c>
      <c r="D131" s="123" t="s">
        <v>381</v>
      </c>
      <c r="E131" s="27" t="s">
        <v>745</v>
      </c>
      <c r="F131" s="125" t="s">
        <v>746</v>
      </c>
      <c r="G131" s="34">
        <f t="shared" si="5"/>
        <v>4525</v>
      </c>
      <c r="H131" s="34">
        <v>4525</v>
      </c>
      <c r="I131" s="34"/>
      <c r="J131" s="34"/>
    </row>
    <row r="132" spans="1:10" ht="36.75" customHeight="1">
      <c r="A132" s="136" t="s">
        <v>500</v>
      </c>
      <c r="B132" s="122"/>
      <c r="C132" s="122"/>
      <c r="D132" s="132" t="s">
        <v>750</v>
      </c>
      <c r="E132" s="120"/>
      <c r="F132" s="115"/>
      <c r="G132" s="36">
        <f>G133</f>
        <v>209527</v>
      </c>
      <c r="H132" s="36">
        <f>H133</f>
        <v>186667</v>
      </c>
      <c r="I132" s="36">
        <f>I133</f>
        <v>22860</v>
      </c>
      <c r="J132" s="36">
        <f>J133</f>
        <v>22860</v>
      </c>
    </row>
    <row r="133" spans="1:10" ht="49.5" customHeight="1">
      <c r="A133" s="136" t="s">
        <v>502</v>
      </c>
      <c r="B133" s="122"/>
      <c r="C133" s="122"/>
      <c r="D133" s="132" t="s">
        <v>750</v>
      </c>
      <c r="E133" s="120"/>
      <c r="F133" s="115"/>
      <c r="G133" s="36">
        <f>SUM(G134:G136)</f>
        <v>209527</v>
      </c>
      <c r="H133" s="36">
        <f>SUM(H134:H136)</f>
        <v>186667</v>
      </c>
      <c r="I133" s="36">
        <f>SUM(I134:I136)</f>
        <v>22860</v>
      </c>
      <c r="J133" s="36">
        <f>SUM(J134:J136)</f>
        <v>22860</v>
      </c>
    </row>
    <row r="134" spans="1:10" ht="106.5" customHeight="1">
      <c r="A134" s="119" t="s">
        <v>664</v>
      </c>
      <c r="B134" s="119" t="s">
        <v>619</v>
      </c>
      <c r="C134" s="119" t="s">
        <v>370</v>
      </c>
      <c r="D134" s="123" t="s">
        <v>620</v>
      </c>
      <c r="E134" s="124" t="s">
        <v>703</v>
      </c>
      <c r="F134" s="130" t="s">
        <v>16</v>
      </c>
      <c r="G134" s="34">
        <f>H134+I134</f>
        <v>22860</v>
      </c>
      <c r="H134" s="34"/>
      <c r="I134" s="34">
        <f>J134</f>
        <v>22860</v>
      </c>
      <c r="J134" s="34">
        <v>22860</v>
      </c>
    </row>
    <row r="135" spans="1:10" ht="110.25" customHeight="1" hidden="1">
      <c r="A135" s="119" t="s">
        <v>663</v>
      </c>
      <c r="B135" s="119" t="s">
        <v>582</v>
      </c>
      <c r="C135" s="119" t="s">
        <v>371</v>
      </c>
      <c r="D135" s="123" t="s">
        <v>583</v>
      </c>
      <c r="E135" s="124" t="s">
        <v>703</v>
      </c>
      <c r="F135" s="130" t="s">
        <v>16</v>
      </c>
      <c r="G135" s="34">
        <f>H135+I135</f>
        <v>0</v>
      </c>
      <c r="H135" s="34"/>
      <c r="I135" s="34">
        <f>J135</f>
        <v>0</v>
      </c>
      <c r="J135" s="34">
        <f>6666667-2000000-1000000-1445833-65146-2155688</f>
        <v>0</v>
      </c>
    </row>
    <row r="136" spans="1:10" ht="96" customHeight="1">
      <c r="A136" s="122" t="s">
        <v>504</v>
      </c>
      <c r="B136" s="119">
        <v>7693</v>
      </c>
      <c r="C136" s="122" t="s">
        <v>371</v>
      </c>
      <c r="D136" s="123" t="s">
        <v>381</v>
      </c>
      <c r="E136" s="120" t="s">
        <v>751</v>
      </c>
      <c r="F136" s="125" t="s">
        <v>752</v>
      </c>
      <c r="G136" s="34">
        <f>H136+I136</f>
        <v>186667</v>
      </c>
      <c r="H136" s="34">
        <f>302398-115731</f>
        <v>186667</v>
      </c>
      <c r="I136" s="34"/>
      <c r="J136" s="34"/>
    </row>
    <row r="137" spans="1:10" ht="41.25" customHeight="1">
      <c r="A137" s="117" t="s">
        <v>505</v>
      </c>
      <c r="B137" s="117"/>
      <c r="C137" s="117"/>
      <c r="D137" s="118" t="s">
        <v>506</v>
      </c>
      <c r="E137" s="120"/>
      <c r="F137" s="125"/>
      <c r="G137" s="36">
        <f>G138</f>
        <v>12373</v>
      </c>
      <c r="H137" s="36">
        <f>H138</f>
        <v>12373</v>
      </c>
      <c r="I137" s="34"/>
      <c r="J137" s="34"/>
    </row>
    <row r="138" spans="1:10" ht="40.5" customHeight="1">
      <c r="A138" s="183" t="s">
        <v>507</v>
      </c>
      <c r="B138" s="183"/>
      <c r="C138" s="183"/>
      <c r="D138" s="297" t="s">
        <v>506</v>
      </c>
      <c r="E138" s="120"/>
      <c r="F138" s="125"/>
      <c r="G138" s="36">
        <f>H138+I138</f>
        <v>12373</v>
      </c>
      <c r="H138" s="36">
        <f>H139</f>
        <v>12373</v>
      </c>
      <c r="I138" s="34"/>
      <c r="J138" s="34"/>
    </row>
    <row r="139" spans="1:10" ht="99" customHeight="1">
      <c r="A139" s="119" t="s">
        <v>508</v>
      </c>
      <c r="B139" s="119" t="s">
        <v>401</v>
      </c>
      <c r="C139" s="119" t="s">
        <v>306</v>
      </c>
      <c r="D139" s="123" t="s">
        <v>509</v>
      </c>
      <c r="E139" s="120" t="s">
        <v>677</v>
      </c>
      <c r="F139" s="115" t="s">
        <v>17</v>
      </c>
      <c r="G139" s="34">
        <f>H139+I139</f>
        <v>12373</v>
      </c>
      <c r="H139" s="34">
        <v>12373</v>
      </c>
      <c r="I139" s="34"/>
      <c r="J139" s="34"/>
    </row>
    <row r="140" spans="1:10" ht="77.25" customHeight="1">
      <c r="A140" s="183" t="s">
        <v>510</v>
      </c>
      <c r="B140" s="183"/>
      <c r="C140" s="183"/>
      <c r="D140" s="184" t="s">
        <v>511</v>
      </c>
      <c r="E140" s="120"/>
      <c r="F140" s="125"/>
      <c r="G140" s="36">
        <f>G141</f>
        <v>4185139</v>
      </c>
      <c r="H140" s="36">
        <f>H141</f>
        <v>1614173</v>
      </c>
      <c r="I140" s="36">
        <f>I141</f>
        <v>2570966</v>
      </c>
      <c r="J140" s="36">
        <f>J141</f>
        <v>2570966</v>
      </c>
    </row>
    <row r="141" spans="1:10" ht="62.25" customHeight="1">
      <c r="A141" s="117" t="s">
        <v>512</v>
      </c>
      <c r="B141" s="117"/>
      <c r="C141" s="117"/>
      <c r="D141" s="137" t="s">
        <v>511</v>
      </c>
      <c r="E141" s="120"/>
      <c r="F141" s="125"/>
      <c r="G141" s="36">
        <f>SUM(G142:G145)</f>
        <v>4185139</v>
      </c>
      <c r="H141" s="36">
        <f>SUM(H142:H145)</f>
        <v>1614173</v>
      </c>
      <c r="I141" s="36">
        <f>SUM(I142:I145)</f>
        <v>2570966</v>
      </c>
      <c r="J141" s="36">
        <f>SUM(J142:J145)</f>
        <v>2570966</v>
      </c>
    </row>
    <row r="142" spans="1:10" ht="93.75" customHeight="1">
      <c r="A142" s="414" t="s">
        <v>514</v>
      </c>
      <c r="B142" s="414" t="s">
        <v>380</v>
      </c>
      <c r="C142" s="414" t="s">
        <v>371</v>
      </c>
      <c r="D142" s="427" t="s">
        <v>753</v>
      </c>
      <c r="E142" s="123" t="s">
        <v>754</v>
      </c>
      <c r="F142" s="125" t="s">
        <v>755</v>
      </c>
      <c r="G142" s="34">
        <f>H142+I142</f>
        <v>453073</v>
      </c>
      <c r="H142" s="34">
        <f>385512+19994+7916+39651</f>
        <v>453073</v>
      </c>
      <c r="I142" s="34"/>
      <c r="J142" s="34"/>
    </row>
    <row r="143" spans="1:10" ht="96.75" customHeight="1">
      <c r="A143" s="419"/>
      <c r="B143" s="419"/>
      <c r="C143" s="419"/>
      <c r="D143" s="430"/>
      <c r="E143" s="120" t="s">
        <v>677</v>
      </c>
      <c r="F143" s="115" t="s">
        <v>17</v>
      </c>
      <c r="G143" s="34">
        <f>H143+I143</f>
        <v>39000</v>
      </c>
      <c r="H143" s="34"/>
      <c r="I143" s="34">
        <f>J143</f>
        <v>39000</v>
      </c>
      <c r="J143" s="34">
        <f>39000</f>
        <v>39000</v>
      </c>
    </row>
    <row r="144" spans="1:10" ht="112.5" customHeight="1">
      <c r="A144" s="146" t="s">
        <v>759</v>
      </c>
      <c r="B144" s="146" t="s">
        <v>760</v>
      </c>
      <c r="C144" s="146" t="s">
        <v>761</v>
      </c>
      <c r="D144" s="147" t="s">
        <v>762</v>
      </c>
      <c r="E144" s="120" t="s">
        <v>677</v>
      </c>
      <c r="F144" s="115" t="s">
        <v>18</v>
      </c>
      <c r="G144" s="34">
        <f>H144+I144</f>
        <v>2743440</v>
      </c>
      <c r="H144" s="34">
        <f>58915+37290+44542+18345+65636+60553+20450</f>
        <v>305731</v>
      </c>
      <c r="I144" s="34">
        <f>J144</f>
        <v>2437709</v>
      </c>
      <c r="J144" s="34">
        <f>15300+69165+1000000+1353244</f>
        <v>2437709</v>
      </c>
    </row>
    <row r="145" spans="1:10" ht="102.75" customHeight="1">
      <c r="A145" s="119" t="s">
        <v>516</v>
      </c>
      <c r="B145" s="119" t="s">
        <v>517</v>
      </c>
      <c r="C145" s="119" t="s">
        <v>384</v>
      </c>
      <c r="D145" s="123" t="s">
        <v>518</v>
      </c>
      <c r="E145" s="123" t="s">
        <v>754</v>
      </c>
      <c r="F145" s="125" t="s">
        <v>755</v>
      </c>
      <c r="G145" s="34">
        <f>H145+I145</f>
        <v>949626</v>
      </c>
      <c r="H145" s="34">
        <f>200000-18846+20000+100000-9399+200000+165920-19994+88960+128728</f>
        <v>855369</v>
      </c>
      <c r="I145" s="34">
        <f>J145</f>
        <v>94257</v>
      </c>
      <c r="J145" s="34">
        <f>18846+9399+66012</f>
        <v>94257</v>
      </c>
    </row>
    <row r="146" spans="1:10" ht="69.75" customHeight="1">
      <c r="A146" s="117" t="s">
        <v>519</v>
      </c>
      <c r="B146" s="117"/>
      <c r="C146" s="117"/>
      <c r="D146" s="118" t="s">
        <v>520</v>
      </c>
      <c r="E146" s="120"/>
      <c r="F146" s="115"/>
      <c r="G146" s="36">
        <f>G147</f>
        <v>10886119</v>
      </c>
      <c r="H146" s="36">
        <f>H147</f>
        <v>5649751</v>
      </c>
      <c r="I146" s="36">
        <f>I147</f>
        <v>5236368</v>
      </c>
      <c r="J146" s="36">
        <f>J147</f>
        <v>5236368</v>
      </c>
    </row>
    <row r="147" spans="1:10" ht="80.25" customHeight="1">
      <c r="A147" s="117" t="s">
        <v>521</v>
      </c>
      <c r="B147" s="117"/>
      <c r="C147" s="117"/>
      <c r="D147" s="118" t="s">
        <v>520</v>
      </c>
      <c r="E147" s="120"/>
      <c r="F147" s="115"/>
      <c r="G147" s="36">
        <f>H147+I147</f>
        <v>10886119</v>
      </c>
      <c r="H147" s="36">
        <f>SUM(H148:H158)</f>
        <v>5649751</v>
      </c>
      <c r="I147" s="36">
        <f>SUM(I148:I158)</f>
        <v>5236368</v>
      </c>
      <c r="J147" s="36">
        <f>SUM(J148:J158)</f>
        <v>5236368</v>
      </c>
    </row>
    <row r="148" spans="1:10" ht="113.25" customHeight="1">
      <c r="A148" s="119" t="s">
        <v>665</v>
      </c>
      <c r="B148" s="119" t="s">
        <v>638</v>
      </c>
      <c r="C148" s="119" t="s">
        <v>639</v>
      </c>
      <c r="D148" s="123" t="s">
        <v>640</v>
      </c>
      <c r="E148" s="129" t="s">
        <v>30</v>
      </c>
      <c r="F148" s="125" t="s">
        <v>729</v>
      </c>
      <c r="G148" s="34">
        <f>H148</f>
        <v>37292</v>
      </c>
      <c r="H148" s="34">
        <f>24638+12654</f>
        <v>37292</v>
      </c>
      <c r="I148" s="34"/>
      <c r="J148" s="34"/>
    </row>
    <row r="149" spans="1:10" ht="41.25" customHeight="1">
      <c r="A149" s="119" t="s">
        <v>576</v>
      </c>
      <c r="B149" s="119" t="s">
        <v>351</v>
      </c>
      <c r="C149" s="119" t="s">
        <v>348</v>
      </c>
      <c r="D149" s="123" t="s">
        <v>352</v>
      </c>
      <c r="E149" s="417" t="s">
        <v>756</v>
      </c>
      <c r="F149" s="426" t="s">
        <v>757</v>
      </c>
      <c r="G149" s="34">
        <f aca="true" t="shared" si="6" ref="G149:G158">H149+I149</f>
        <v>44480</v>
      </c>
      <c r="H149" s="34">
        <v>44480</v>
      </c>
      <c r="I149" s="34"/>
      <c r="J149" s="34"/>
    </row>
    <row r="150" spans="1:10" ht="42.75" customHeight="1">
      <c r="A150" s="119" t="s">
        <v>523</v>
      </c>
      <c r="B150" s="119" t="s">
        <v>354</v>
      </c>
      <c r="C150" s="119" t="s">
        <v>348</v>
      </c>
      <c r="D150" s="123" t="s">
        <v>22</v>
      </c>
      <c r="E150" s="443"/>
      <c r="F150" s="302"/>
      <c r="G150" s="34">
        <f t="shared" si="6"/>
        <v>325522</v>
      </c>
      <c r="H150" s="34">
        <f>55000+270522</f>
        <v>325522</v>
      </c>
      <c r="I150" s="34"/>
      <c r="J150" s="34"/>
    </row>
    <row r="151" spans="1:10" ht="39" customHeight="1">
      <c r="A151" s="119" t="s">
        <v>524</v>
      </c>
      <c r="B151" s="119" t="s">
        <v>360</v>
      </c>
      <c r="C151" s="119" t="s">
        <v>348</v>
      </c>
      <c r="D151" s="123" t="s">
        <v>361</v>
      </c>
      <c r="E151" s="443"/>
      <c r="F151" s="302"/>
      <c r="G151" s="34">
        <f t="shared" si="6"/>
        <v>3484337</v>
      </c>
      <c r="H151" s="34">
        <f>2039358+511184+144987-12654+25970+49226+28078</f>
        <v>2786149</v>
      </c>
      <c r="I151" s="34">
        <f aca="true" t="shared" si="7" ref="I151:I157">J151</f>
        <v>698188</v>
      </c>
      <c r="J151" s="34">
        <f>199980+108131+385200+8000-3123</f>
        <v>698188</v>
      </c>
    </row>
    <row r="152" spans="1:10" ht="49.5" customHeight="1">
      <c r="A152" s="119" t="s">
        <v>574</v>
      </c>
      <c r="B152" s="119" t="s">
        <v>575</v>
      </c>
      <c r="C152" s="119" t="s">
        <v>348</v>
      </c>
      <c r="D152" s="123" t="s">
        <v>577</v>
      </c>
      <c r="E152" s="444"/>
      <c r="F152" s="303"/>
      <c r="G152" s="34">
        <f t="shared" si="6"/>
        <v>644374</v>
      </c>
      <c r="H152" s="34">
        <f>199000+299792+49532</f>
        <v>548324</v>
      </c>
      <c r="I152" s="34">
        <f t="shared" si="7"/>
        <v>96050</v>
      </c>
      <c r="J152" s="34">
        <f>75050+21000</f>
        <v>96050</v>
      </c>
    </row>
    <row r="153" spans="1:10" ht="43.5" customHeight="1">
      <c r="A153" s="119" t="s">
        <v>525</v>
      </c>
      <c r="B153" s="119" t="s">
        <v>367</v>
      </c>
      <c r="C153" s="119" t="s">
        <v>368</v>
      </c>
      <c r="D153" s="123" t="s">
        <v>369</v>
      </c>
      <c r="E153" s="417" t="s">
        <v>756</v>
      </c>
      <c r="F153" s="426" t="s">
        <v>757</v>
      </c>
      <c r="G153" s="34">
        <f t="shared" si="6"/>
        <v>47380</v>
      </c>
      <c r="H153" s="34">
        <f>122576-75196</f>
        <v>47380</v>
      </c>
      <c r="I153" s="34"/>
      <c r="J153" s="34"/>
    </row>
    <row r="154" spans="1:10" ht="37.5" customHeight="1">
      <c r="A154" s="119" t="s">
        <v>571</v>
      </c>
      <c r="B154" s="119" t="s">
        <v>572</v>
      </c>
      <c r="C154" s="119" t="s">
        <v>370</v>
      </c>
      <c r="D154" s="123" t="s">
        <v>573</v>
      </c>
      <c r="E154" s="443"/>
      <c r="F154" s="302"/>
      <c r="G154" s="34">
        <f t="shared" si="6"/>
        <v>324298</v>
      </c>
      <c r="H154" s="34"/>
      <c r="I154" s="34">
        <f t="shared" si="7"/>
        <v>324298</v>
      </c>
      <c r="J154" s="34">
        <f>575278+50000-299792-1188</f>
        <v>324298</v>
      </c>
    </row>
    <row r="155" spans="1:10" ht="45.75" customHeight="1">
      <c r="A155" s="119" t="s">
        <v>526</v>
      </c>
      <c r="B155" s="119" t="s">
        <v>527</v>
      </c>
      <c r="C155" s="119" t="s">
        <v>370</v>
      </c>
      <c r="D155" s="123" t="s">
        <v>528</v>
      </c>
      <c r="E155" s="443"/>
      <c r="F155" s="302"/>
      <c r="G155" s="34">
        <f t="shared" si="6"/>
        <v>2786132</v>
      </c>
      <c r="H155" s="34"/>
      <c r="I155" s="34">
        <f t="shared" si="7"/>
        <v>2786132</v>
      </c>
      <c r="J155" s="34">
        <f>2542137+35459+149976+49950+35500-26890</f>
        <v>2786132</v>
      </c>
    </row>
    <row r="156" spans="1:10" ht="62.25" customHeight="1">
      <c r="A156" s="119" t="s">
        <v>529</v>
      </c>
      <c r="B156" s="119" t="s">
        <v>530</v>
      </c>
      <c r="C156" s="119" t="s">
        <v>370</v>
      </c>
      <c r="D156" s="123" t="s">
        <v>531</v>
      </c>
      <c r="E156" s="443"/>
      <c r="F156" s="302"/>
      <c r="G156" s="34">
        <f t="shared" si="6"/>
        <v>93500</v>
      </c>
      <c r="H156" s="34"/>
      <c r="I156" s="34">
        <f t="shared" si="7"/>
        <v>93500</v>
      </c>
      <c r="J156" s="34">
        <v>93500</v>
      </c>
    </row>
    <row r="157" spans="1:10" ht="66" customHeight="1">
      <c r="A157" s="119" t="s">
        <v>532</v>
      </c>
      <c r="B157" s="119" t="s">
        <v>373</v>
      </c>
      <c r="C157" s="119" t="s">
        <v>374</v>
      </c>
      <c r="D157" s="123" t="s">
        <v>375</v>
      </c>
      <c r="E157" s="443"/>
      <c r="F157" s="302"/>
      <c r="G157" s="34">
        <f t="shared" si="6"/>
        <v>3093238</v>
      </c>
      <c r="H157" s="34">
        <f>1609406+225077+190000-151568-17877</f>
        <v>1855038</v>
      </c>
      <c r="I157" s="34">
        <f t="shared" si="7"/>
        <v>1238200</v>
      </c>
      <c r="J157" s="34">
        <f>1189802+48398</f>
        <v>1238200</v>
      </c>
    </row>
    <row r="158" spans="1:10" ht="39.75" customHeight="1">
      <c r="A158" s="119" t="s">
        <v>533</v>
      </c>
      <c r="B158" s="119" t="s">
        <v>380</v>
      </c>
      <c r="C158" s="119" t="s">
        <v>371</v>
      </c>
      <c r="D158" s="123" t="s">
        <v>381</v>
      </c>
      <c r="E158" s="444"/>
      <c r="F158" s="303"/>
      <c r="G158" s="34">
        <f t="shared" si="6"/>
        <v>5566</v>
      </c>
      <c r="H158" s="138">
        <f>3974+1592</f>
        <v>5566</v>
      </c>
      <c r="I158" s="34"/>
      <c r="J158" s="138"/>
    </row>
    <row r="159" spans="1:10" ht="41.25" customHeight="1">
      <c r="A159" s="183" t="s">
        <v>534</v>
      </c>
      <c r="B159" s="183"/>
      <c r="C159" s="183"/>
      <c r="D159" s="184" t="s">
        <v>535</v>
      </c>
      <c r="E159" s="150"/>
      <c r="F159" s="125"/>
      <c r="G159" s="36">
        <f>G160</f>
        <v>67000</v>
      </c>
      <c r="H159" s="186">
        <f>H160</f>
        <v>67000</v>
      </c>
      <c r="I159" s="36"/>
      <c r="J159" s="186"/>
    </row>
    <row r="160" spans="1:10" ht="57" customHeight="1">
      <c r="A160" s="183" t="s">
        <v>536</v>
      </c>
      <c r="B160" s="183"/>
      <c r="C160" s="183"/>
      <c r="D160" s="184" t="s">
        <v>535</v>
      </c>
      <c r="E160" s="150"/>
      <c r="F160" s="125"/>
      <c r="G160" s="36">
        <f>H160+I160</f>
        <v>67000</v>
      </c>
      <c r="H160" s="186">
        <f>SUM(H161)</f>
        <v>67000</v>
      </c>
      <c r="I160" s="36"/>
      <c r="J160" s="186"/>
    </row>
    <row r="161" spans="1:10" ht="115.5" customHeight="1">
      <c r="A161" s="119" t="s">
        <v>537</v>
      </c>
      <c r="B161" s="119" t="s">
        <v>401</v>
      </c>
      <c r="C161" s="119" t="s">
        <v>306</v>
      </c>
      <c r="D161" s="123" t="s">
        <v>402</v>
      </c>
      <c r="E161" s="120" t="s">
        <v>677</v>
      </c>
      <c r="F161" s="115" t="s">
        <v>17</v>
      </c>
      <c r="G161" s="34">
        <f>H161+I161</f>
        <v>67000</v>
      </c>
      <c r="H161" s="138">
        <v>67000</v>
      </c>
      <c r="I161" s="34"/>
      <c r="J161" s="138"/>
    </row>
    <row r="162" spans="1:10" ht="35.25" customHeight="1">
      <c r="A162" s="183" t="s">
        <v>538</v>
      </c>
      <c r="B162" s="183"/>
      <c r="C162" s="183"/>
      <c r="D162" s="184" t="s">
        <v>539</v>
      </c>
      <c r="E162" s="185"/>
      <c r="F162" s="28"/>
      <c r="G162" s="36">
        <f>G163</f>
        <v>6425185</v>
      </c>
      <c r="H162" s="36">
        <f>H163</f>
        <v>1380198</v>
      </c>
      <c r="I162" s="36">
        <f>I163</f>
        <v>5044987</v>
      </c>
      <c r="J162" s="36">
        <f>J163</f>
        <v>5044987</v>
      </c>
    </row>
    <row r="163" spans="1:10" ht="37.5" customHeight="1">
      <c r="A163" s="117" t="s">
        <v>540</v>
      </c>
      <c r="B163" s="117"/>
      <c r="C163" s="117"/>
      <c r="D163" s="137" t="s">
        <v>539</v>
      </c>
      <c r="E163" s="139"/>
      <c r="F163" s="28"/>
      <c r="G163" s="36">
        <f>G164+G165+G166</f>
        <v>6425185</v>
      </c>
      <c r="H163" s="36">
        <f>H164+H165+H166</f>
        <v>1380198</v>
      </c>
      <c r="I163" s="36">
        <f>I164+I165+I166</f>
        <v>5044987</v>
      </c>
      <c r="J163" s="36">
        <f>J164+J165+J166</f>
        <v>5044987</v>
      </c>
    </row>
    <row r="164" spans="1:10" ht="102.75" customHeight="1">
      <c r="A164" s="115">
        <v>3718881</v>
      </c>
      <c r="B164" s="115">
        <v>8881</v>
      </c>
      <c r="C164" s="140" t="s">
        <v>371</v>
      </c>
      <c r="D164" s="123" t="s">
        <v>758</v>
      </c>
      <c r="E164" s="120" t="s">
        <v>708</v>
      </c>
      <c r="F164" s="115" t="s">
        <v>709</v>
      </c>
      <c r="G164" s="34">
        <f>H164+I164</f>
        <v>5044987</v>
      </c>
      <c r="H164" s="34"/>
      <c r="I164" s="34">
        <f>J164</f>
        <v>5044987</v>
      </c>
      <c r="J164" s="34">
        <f>4629062+415925</f>
        <v>5044987</v>
      </c>
    </row>
    <row r="165" spans="1:10" ht="107.25" customHeight="1">
      <c r="A165" s="119" t="s">
        <v>624</v>
      </c>
      <c r="B165" s="119" t="s">
        <v>625</v>
      </c>
      <c r="C165" s="119" t="s">
        <v>312</v>
      </c>
      <c r="D165" s="123" t="s">
        <v>604</v>
      </c>
      <c r="E165" s="417" t="s">
        <v>708</v>
      </c>
      <c r="F165" s="115" t="s">
        <v>709</v>
      </c>
      <c r="G165" s="34">
        <f>H165+I165</f>
        <v>202048</v>
      </c>
      <c r="H165" s="34">
        <v>202048</v>
      </c>
      <c r="I165" s="34"/>
      <c r="J165" s="34"/>
    </row>
    <row r="166" spans="1:10" ht="105.75" customHeight="1">
      <c r="A166" s="119" t="s">
        <v>628</v>
      </c>
      <c r="B166" s="119" t="s">
        <v>629</v>
      </c>
      <c r="C166" s="119" t="s">
        <v>312</v>
      </c>
      <c r="D166" s="123" t="s">
        <v>630</v>
      </c>
      <c r="E166" s="418"/>
      <c r="F166" s="115" t="s">
        <v>709</v>
      </c>
      <c r="G166" s="34">
        <f>H166+I166</f>
        <v>1178150</v>
      </c>
      <c r="H166" s="34">
        <f>15000+100000+190000+69650+48500+150000+200000+405000</f>
        <v>1178150</v>
      </c>
      <c r="I166" s="34"/>
      <c r="J166" s="34"/>
    </row>
    <row r="167" spans="1:10" ht="27.75" customHeight="1">
      <c r="A167" s="141" t="s">
        <v>295</v>
      </c>
      <c r="B167" s="141" t="s">
        <v>295</v>
      </c>
      <c r="C167" s="141" t="s">
        <v>295</v>
      </c>
      <c r="D167" s="141" t="s">
        <v>294</v>
      </c>
      <c r="E167" s="141"/>
      <c r="F167" s="142" t="s">
        <v>295</v>
      </c>
      <c r="G167" s="36">
        <f>G18+G70+G89+G107+G118+G132+G140+G146+G162+G159+G137</f>
        <v>192234780</v>
      </c>
      <c r="H167" s="36">
        <f>H18+H70+H89+H107+H118+H132+H140+H146+H162+H159+H137</f>
        <v>130083327</v>
      </c>
      <c r="I167" s="36">
        <f>I18+I70+I89+I107+I118+I132+I140+I146+I162+I159+I137</f>
        <v>62151453</v>
      </c>
      <c r="J167" s="36">
        <f>J18+J70+J89+J107+J118+J132+J140+J146+J162+J159+J137</f>
        <v>54513781</v>
      </c>
    </row>
    <row r="172" spans="3:13" ht="23.25">
      <c r="C172" s="10" t="s">
        <v>605</v>
      </c>
      <c r="D172" s="30"/>
      <c r="E172" s="30"/>
      <c r="F172" s="31"/>
      <c r="G172" s="31"/>
      <c r="H172" s="31"/>
      <c r="I172" s="10" t="s">
        <v>606</v>
      </c>
      <c r="J172" s="30"/>
      <c r="K172" s="143"/>
      <c r="M172"/>
    </row>
    <row r="173" spans="4:10" ht="18.75">
      <c r="D173" s="30"/>
      <c r="E173" s="30"/>
      <c r="F173" s="144"/>
      <c r="G173" s="30"/>
      <c r="H173" s="30"/>
      <c r="I173" s="30"/>
      <c r="J173" s="30"/>
    </row>
  </sheetData>
  <sheetProtection/>
  <mergeCells count="91">
    <mergeCell ref="F153:F158"/>
    <mergeCell ref="E149:E152"/>
    <mergeCell ref="F149:F152"/>
    <mergeCell ref="F10:F16"/>
    <mergeCell ref="G10:G16"/>
    <mergeCell ref="E98:E101"/>
    <mergeCell ref="F98:F101"/>
    <mergeCell ref="A6:J6"/>
    <mergeCell ref="A10:A16"/>
    <mergeCell ref="B10:B16"/>
    <mergeCell ref="C10:C16"/>
    <mergeCell ref="D10:D16"/>
    <mergeCell ref="E10:E16"/>
    <mergeCell ref="H10:H16"/>
    <mergeCell ref="I10:J14"/>
    <mergeCell ref="I15:I16"/>
    <mergeCell ref="J15:J16"/>
    <mergeCell ref="A22:A23"/>
    <mergeCell ref="B22:B23"/>
    <mergeCell ref="C22:C23"/>
    <mergeCell ref="D22:D23"/>
    <mergeCell ref="C44:C45"/>
    <mergeCell ref="D44:D45"/>
    <mergeCell ref="A25:A30"/>
    <mergeCell ref="B25:B30"/>
    <mergeCell ref="C25:C30"/>
    <mergeCell ref="D25:D30"/>
    <mergeCell ref="A41:A42"/>
    <mergeCell ref="B41:B42"/>
    <mergeCell ref="C41:C42"/>
    <mergeCell ref="D41:D42"/>
    <mergeCell ref="C50:C51"/>
    <mergeCell ref="D50:D51"/>
    <mergeCell ref="C56:C57"/>
    <mergeCell ref="D56:D57"/>
    <mergeCell ref="A73:A74"/>
    <mergeCell ref="B73:B74"/>
    <mergeCell ref="C73:C74"/>
    <mergeCell ref="D73:D74"/>
    <mergeCell ref="C59:C65"/>
    <mergeCell ref="D59:D65"/>
    <mergeCell ref="A59:A65"/>
    <mergeCell ref="B59:B65"/>
    <mergeCell ref="A75:A77"/>
    <mergeCell ref="B75:B77"/>
    <mergeCell ref="D85:D86"/>
    <mergeCell ref="A44:A45"/>
    <mergeCell ref="B44:B45"/>
    <mergeCell ref="A50:A51"/>
    <mergeCell ref="B50:B51"/>
    <mergeCell ref="A56:A57"/>
    <mergeCell ref="B56:B57"/>
    <mergeCell ref="C75:C77"/>
    <mergeCell ref="D75:D77"/>
    <mergeCell ref="D142:D143"/>
    <mergeCell ref="E96:E97"/>
    <mergeCell ref="F96:F97"/>
    <mergeCell ref="E115:E117"/>
    <mergeCell ref="F115:F117"/>
    <mergeCell ref="E109:E112"/>
    <mergeCell ref="F109:F112"/>
    <mergeCell ref="D126:D127"/>
    <mergeCell ref="E91:E95"/>
    <mergeCell ref="F91:F95"/>
    <mergeCell ref="C78:C79"/>
    <mergeCell ref="D78:D79"/>
    <mergeCell ref="A126:A127"/>
    <mergeCell ref="B126:B127"/>
    <mergeCell ref="C126:C127"/>
    <mergeCell ref="A113:A114"/>
    <mergeCell ref="B113:B114"/>
    <mergeCell ref="C113:C114"/>
    <mergeCell ref="A123:A124"/>
    <mergeCell ref="E165:E166"/>
    <mergeCell ref="B142:B143"/>
    <mergeCell ref="C142:C143"/>
    <mergeCell ref="A142:A143"/>
    <mergeCell ref="E153:E158"/>
    <mergeCell ref="D123:D124"/>
    <mergeCell ref="A78:A79"/>
    <mergeCell ref="B78:B79"/>
    <mergeCell ref="A85:A86"/>
    <mergeCell ref="B85:B86"/>
    <mergeCell ref="C85:C86"/>
    <mergeCell ref="B123:B124"/>
    <mergeCell ref="C123:C124"/>
    <mergeCell ref="D113:D114"/>
    <mergeCell ref="A46:A48"/>
    <mergeCell ref="B46:B48"/>
    <mergeCell ref="C46:C48"/>
    <mergeCell ref="D46:D4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2020-10-19T11:15:14Z</cp:lastPrinted>
  <dcterms:created xsi:type="dcterms:W3CDTF">2019-10-18T11:31:34Z</dcterms:created>
  <dcterms:modified xsi:type="dcterms:W3CDTF">2020-10-19T11:15:40Z</dcterms:modified>
  <cp:category/>
  <cp:version/>
  <cp:contentType/>
  <cp:contentStatus/>
</cp:coreProperties>
</file>