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195" windowHeight="11640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6'!$11:$16</definedName>
    <definedName name="_xlnm.Print_Titles" localSheetId="6">'додаток 7'!$9:$17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'додаток1'!$A$1:$F$128</definedName>
  </definedNames>
  <calcPr fullCalcOnLoad="1"/>
</workbook>
</file>

<file path=xl/sharedStrings.xml><?xml version="1.0" encoding="utf-8"?>
<sst xmlns="http://schemas.openxmlformats.org/spreadsheetml/2006/main" count="1683" uniqueCount="775">
  <si>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</si>
  <si>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</si>
  <si>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</si>
  <si>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</si>
  <si>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</si>
  <si>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</si>
  <si>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</si>
  <si>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</si>
  <si>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</si>
  <si>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</si>
  <si>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</si>
  <si>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</si>
  <si>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</si>
  <si>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</si>
  <si>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</si>
  <si>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</si>
  <si>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</si>
  <si>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</si>
  <si>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</si>
  <si>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</si>
  <si>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</si>
  <si>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</si>
  <si>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</si>
  <si>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</si>
  <si>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</si>
  <si>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</si>
  <si>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</si>
  <si>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</si>
  <si>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</si>
  <si>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</si>
  <si>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</si>
  <si>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</si>
  <si>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</si>
  <si>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</si>
  <si>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</si>
  <si>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</si>
  <si>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</si>
  <si>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</si>
  <si>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</si>
  <si>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</si>
  <si>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</si>
  <si>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</si>
  <si>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</si>
  <si>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</si>
  <si>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</si>
  <si>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</si>
  <si>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</si>
  <si>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</si>
  <si>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</si>
  <si>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</si>
  <si>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</si>
  <si>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</si>
  <si>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</si>
  <si>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</si>
  <si>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</si>
  <si>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</si>
  <si>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</si>
  <si>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</si>
  <si>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</si>
  <si>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</si>
  <si>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</si>
  <si>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</si>
  <si>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</si>
  <si>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</si>
  <si>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</si>
  <si>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</si>
  <si>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</si>
  <si>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</si>
  <si>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</si>
  <si>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</si>
  <si>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</si>
  <si>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</si>
  <si>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</si>
  <si>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</si>
  <si>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</si>
  <si>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</si>
  <si>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</si>
  <si>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</si>
  <si>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</si>
  <si>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</si>
  <si>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</si>
  <si>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</si>
  <si>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</si>
  <si>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</si>
  <si>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</si>
  <si>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</si>
  <si>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</si>
  <si>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</si>
  <si>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</si>
  <si>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</si>
  <si>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</si>
  <si>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</si>
  <si>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</si>
  <si>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</si>
  <si>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</si>
  <si>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</si>
  <si>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</si>
  <si>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</si>
  <si>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</si>
  <si>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</si>
  <si>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</si>
  <si>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</si>
  <si>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</si>
  <si>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</si>
  <si>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</si>
  <si>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</si>
  <si>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</si>
  <si>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</si>
  <si>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</si>
  <si>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</si>
  <si>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</si>
  <si>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</si>
  <si>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</si>
  <si>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</si>
  <si>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</si>
  <si>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</si>
  <si>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</si>
  <si>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</si>
  <si>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</si>
  <si>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</si>
  <si>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</si>
  <si>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</si>
  <si>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</si>
  <si>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</si>
  <si>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</si>
  <si>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</si>
  <si>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</si>
  <si>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</si>
  <si>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</si>
  <si>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</si>
  <si>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</si>
  <si>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</si>
  <si>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</si>
  <si>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</si>
  <si>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</si>
  <si>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</si>
  <si>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</si>
  <si>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</si>
  <si>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</si>
  <si>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</si>
  <si>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</si>
  <si>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</si>
  <si>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</si>
  <si>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</si>
  <si>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</si>
  <si>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</si>
  <si>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</si>
  <si>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</si>
  <si>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</si>
  <si>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</si>
  <si>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</si>
  <si>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</si>
  <si>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</si>
  <si>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</si>
  <si>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</si>
  <si>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</si>
  <si>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</si>
  <si>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</si>
  <si>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</si>
  <si>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</si>
  <si>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</si>
  <si>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</si>
  <si>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</si>
  <si>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</si>
  <si>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</si>
  <si>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</si>
  <si>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</si>
  <si>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</si>
  <si>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</si>
  <si>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</si>
  <si>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</si>
  <si>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</si>
  <si>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</si>
  <si>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</si>
  <si>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</si>
  <si>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</si>
  <si>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</si>
  <si>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</si>
  <si>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</si>
  <si>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</si>
  <si>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</si>
  <si>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</si>
  <si>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</si>
  <si>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</si>
  <si>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</si>
  <si>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</si>
  <si>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</si>
  <si>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</si>
  <si>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</si>
  <si>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</si>
  <si>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</si>
  <si>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</si>
  <si>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Додатко 5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</si>
  <si>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</si>
  <si>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</si>
  <si>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</si>
  <si>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</si>
  <si>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</si>
  <si>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</si>
  <si>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</si>
  <si>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</si>
  <si>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</si>
  <si>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</si>
  <si>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</si>
  <si>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</si>
  <si>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</si>
  <si>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</si>
  <si>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</si>
  <si>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</si>
  <si>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</si>
  <si>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</si>
  <si>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</si>
  <si>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</si>
  <si>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</si>
  <si>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</si>
  <si>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</si>
  <si>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</si>
  <si>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</si>
  <si>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</si>
  <si>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</si>
  <si>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</si>
  <si>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</si>
  <si>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</si>
  <si>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</si>
  <si>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</si>
  <si>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</si>
  <si>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</si>
  <si>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</si>
  <si>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</si>
  <si>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</si>
  <si>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</si>
  <si>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</si>
  <si>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</si>
  <si>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</si>
  <si>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</si>
  <si>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</si>
  <si>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</si>
  <si>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</si>
  <si>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</si>
  <si>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</si>
  <si>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</si>
  <si>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</si>
  <si>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</si>
  <si>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</si>
  <si>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</si>
  <si>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</si>
  <si>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</si>
  <si>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</si>
  <si>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</si>
  <si>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</si>
  <si>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</si>
  <si>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</si>
  <si>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</si>
  <si>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</si>
  <si>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</si>
  <si>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</si>
  <si>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</si>
  <si>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</si>
  <si>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</si>
  <si>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</si>
  <si>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</si>
  <si>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</si>
  <si>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</si>
  <si>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</si>
  <si>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</si>
  <si>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</si>
  <si>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</si>
  <si>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</si>
  <si>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</si>
  <si>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</si>
  <si>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</si>
  <si>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</si>
  <si>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</si>
  <si>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</si>
  <si>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</si>
  <si>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</si>
  <si>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</si>
  <si>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</si>
  <si>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</si>
  <si>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</si>
  <si>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</si>
  <si>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</si>
  <si>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</si>
  <si>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</si>
  <si>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</si>
  <si>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</si>
  <si>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</si>
  <si>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7-го скликання міської ради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</si>
  <si>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</si>
  <si>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</si>
  <si>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</si>
  <si>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</si>
  <si>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</si>
  <si>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</si>
  <si>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</si>
  <si>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</si>
  <si>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</si>
  <si>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</si>
  <si>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</si>
  <si>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О.В. Лук'яненко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</si>
  <si>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</si>
  <si>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</si>
  <si>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</si>
  <si>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</si>
  <si>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</si>
  <si>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</si>
  <si>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</si>
  <si>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</si>
  <si>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</si>
  <si>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</si>
  <si>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</si>
  <si>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</si>
  <si>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</si>
  <si>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</si>
  <si>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</si>
  <si>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</si>
  <si>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</si>
  <si>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</si>
  <si>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</si>
  <si>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</si>
  <si>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</si>
  <si>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</si>
  <si>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</si>
  <si>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</si>
  <si>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</si>
  <si>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</si>
  <si>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</si>
  <si>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</si>
  <si>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</si>
  <si>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</si>
  <si>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</si>
  <si>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</si>
  <si>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</si>
  <si>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</si>
  <si>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</si>
  <si>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</si>
  <si>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</si>
  <si>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</si>
  <si>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</si>
  <si>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</si>
  <si>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</si>
  <si>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</si>
  <si>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</si>
  <si>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</si>
  <si>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</si>
  <si>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</si>
  <si>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</si>
  <si>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</si>
  <si>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</si>
  <si>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</si>
  <si>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</si>
  <si>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</si>
  <si>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</si>
  <si>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</si>
  <si>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</si>
  <si>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</si>
  <si>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</si>
  <si>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</si>
  <si>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</si>
  <si>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</si>
  <si>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</si>
  <si>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Рішення Новокаховської міської ради від 20.12.2018 р.      № 1643</t>
  </si>
  <si>
    <t>до рішення 86 сесії</t>
  </si>
  <si>
    <t>від 03.09.2020 року №3109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</si>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</sst>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"/>
    <numFmt numFmtId="195" formatCode="0.0000"/>
    <numFmt numFmtId="196" formatCode="0.000"/>
    <numFmt numFmtId="197" formatCode="#,##0_ ;\-#,##0\ "/>
    <numFmt numFmtId="198" formatCode="_-* #,##0.0\ _г_р_н_._-;\-* #,##0.0\ _г_р_н_._-;_-* &quot;-&quot;\ _г_р_н_._-;_-@_-"/>
    <numFmt numFmtId="199" formatCode="0.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>
      <alignment vertical="top"/>
      <protection/>
    </xf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5" fontId="2" fillId="0" borderId="12" xfId="66" applyNumberFormat="1" applyFont="1" applyBorder="1" applyAlignment="1">
      <alignment horizontal="center" vertical="center" wrapText="1"/>
    </xf>
    <xf numFmtId="185" fontId="2" fillId="0" borderId="12" xfId="66" applyNumberFormat="1" applyFont="1" applyFill="1" applyBorder="1" applyAlignment="1">
      <alignment horizontal="center" vertical="center" wrapText="1"/>
    </xf>
    <xf numFmtId="185" fontId="4" fillId="0" borderId="12" xfId="66" applyNumberFormat="1" applyFont="1" applyBorder="1" applyAlignment="1">
      <alignment horizontal="center" vertical="center" wrapText="1"/>
    </xf>
    <xf numFmtId="185" fontId="2" fillId="0" borderId="13" xfId="66" applyNumberFormat="1" applyFont="1" applyFill="1" applyBorder="1" applyAlignment="1" applyProtection="1">
      <alignment horizontal="center" vertical="center"/>
      <protection/>
    </xf>
    <xf numFmtId="185" fontId="2" fillId="0" borderId="12" xfId="66" applyNumberFormat="1" applyFont="1" applyFill="1" applyBorder="1" applyAlignment="1" applyProtection="1">
      <alignment horizontal="center" vertical="center"/>
      <protection/>
    </xf>
    <xf numFmtId="185" fontId="4" fillId="0" borderId="12" xfId="66" applyNumberFormat="1" applyFont="1" applyFill="1" applyBorder="1" applyAlignment="1" applyProtection="1">
      <alignment horizontal="center" vertical="center"/>
      <protection/>
    </xf>
    <xf numFmtId="185" fontId="8" fillId="0" borderId="12" xfId="66" applyNumberFormat="1" applyFont="1" applyBorder="1" applyAlignment="1">
      <alignment horizontal="center" vertical="center"/>
    </xf>
    <xf numFmtId="185" fontId="9" fillId="0" borderId="12" xfId="66" applyNumberFormat="1" applyFont="1" applyBorder="1" applyAlignment="1">
      <alignment horizontal="center" vertical="center"/>
    </xf>
    <xf numFmtId="185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6" applyNumberFormat="1" applyFont="1" applyBorder="1" applyAlignment="1">
      <alignment vertical="center"/>
    </xf>
    <xf numFmtId="185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7" fontId="15" fillId="0" borderId="13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 wrapText="1"/>
    </xf>
    <xf numFmtId="197" fontId="16" fillId="0" borderId="12" xfId="66" applyNumberFormat="1" applyFont="1" applyBorder="1" applyAlignment="1">
      <alignment vertical="center"/>
    </xf>
    <xf numFmtId="197" fontId="16" fillId="0" borderId="12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/>
    </xf>
    <xf numFmtId="197" fontId="15" fillId="0" borderId="13" xfId="66" applyNumberFormat="1" applyFont="1" applyBorder="1" applyAlignment="1">
      <alignment vertical="center"/>
    </xf>
    <xf numFmtId="197" fontId="16" fillId="0" borderId="12" xfId="0" applyNumberFormat="1" applyFont="1" applyBorder="1" applyAlignment="1">
      <alignment/>
    </xf>
    <xf numFmtId="197" fontId="16" fillId="0" borderId="17" xfId="66" applyNumberFormat="1" applyFont="1" applyBorder="1" applyAlignment="1">
      <alignment vertical="center"/>
    </xf>
    <xf numFmtId="197" fontId="16" fillId="0" borderId="17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7" fontId="54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6" applyNumberFormat="1" applyFont="1" applyBorder="1" applyAlignment="1">
      <alignment vertical="center"/>
    </xf>
    <xf numFmtId="197" fontId="9" fillId="0" borderId="0" xfId="0" applyNumberFormat="1" applyFont="1" applyAlignment="1">
      <alignment/>
    </xf>
    <xf numFmtId="197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2" fontId="2" fillId="0" borderId="12" xfId="0" applyNumberFormat="1" applyFont="1" applyFill="1" applyBorder="1" applyAlignment="1">
      <alignment vertical="center" wrapText="1"/>
    </xf>
    <xf numFmtId="192" fontId="2" fillId="0" borderId="12" xfId="0" applyNumberFormat="1" applyFont="1" applyFill="1" applyBorder="1" applyAlignment="1">
      <alignment horizontal="left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5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3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2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5" fontId="4" fillId="0" borderId="12" xfId="66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/>
    </xf>
    <xf numFmtId="197" fontId="55" fillId="0" borderId="12" xfId="66" applyNumberFormat="1" applyFont="1" applyBorder="1" applyAlignment="1">
      <alignment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197" fontId="16" fillId="0" borderId="26" xfId="66" applyNumberFormat="1" applyFont="1" applyBorder="1" applyAlignment="1">
      <alignment vertical="center"/>
    </xf>
    <xf numFmtId="197" fontId="16" fillId="0" borderId="26" xfId="66" applyNumberFormat="1" applyFont="1" applyBorder="1" applyAlignment="1">
      <alignment vertical="center" wrapText="1"/>
    </xf>
    <xf numFmtId="197" fontId="16" fillId="0" borderId="13" xfId="66" applyNumberFormat="1" applyFont="1" applyBorder="1" applyAlignment="1">
      <alignment vertical="center"/>
    </xf>
    <xf numFmtId="197" fontId="16" fillId="0" borderId="13" xfId="66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7" xfId="0" applyFont="1" applyBorder="1" applyAlignment="1">
      <alignment horizontal="right" wrapText="1"/>
    </xf>
    <xf numFmtId="3" fontId="6" fillId="24" borderId="12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2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3" fontId="6" fillId="0" borderId="29" xfId="0" applyNumberFormat="1" applyFont="1" applyBorder="1" applyAlignment="1">
      <alignment horizontal="center"/>
    </xf>
    <xf numFmtId="3" fontId="6" fillId="24" borderId="29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85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85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85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85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85" fontId="5" fillId="0" borderId="12" xfId="68" applyNumberFormat="1" applyFont="1" applyFill="1" applyBorder="1" applyAlignment="1" applyProtection="1">
      <alignment horizontal="center" vertical="center"/>
      <protection/>
    </xf>
    <xf numFmtId="185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85" fontId="26" fillId="0" borderId="12" xfId="68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197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197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24" borderId="34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0" fontId="6" fillId="2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top" wrapText="1"/>
    </xf>
    <xf numFmtId="0" fontId="32" fillId="0" borderId="3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32" fillId="0" borderId="5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24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24" borderId="55" xfId="0" applyFont="1" applyFill="1" applyBorder="1" applyAlignment="1">
      <alignment horizontal="center" vertical="center" wrapText="1"/>
    </xf>
    <xf numFmtId="0" fontId="33" fillId="0" borderId="56" xfId="0" applyFont="1" applyBorder="1" applyAlignment="1">
      <alignment vertical="center" wrapText="1"/>
    </xf>
    <xf numFmtId="0" fontId="33" fillId="0" borderId="34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6" fillId="0" borderId="17" xfId="0" applyFont="1" applyFill="1" applyBorder="1" applyAlignment="1">
      <alignment vertical="center" wrapText="1"/>
    </xf>
    <xf numFmtId="0" fontId="0" fillId="0" borderId="29" xfId="0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192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6.25390625" style="0" bestFit="1" customWidth="1"/>
  </cols>
  <sheetData>
    <row r="1" spans="1:6" ht="18.75">
      <c r="A1" s="316"/>
      <c r="B1" s="239"/>
      <c r="E1" s="240" t="s">
        <v>368</v>
      </c>
      <c r="F1" s="30"/>
    </row>
    <row r="2" spans="1:6" ht="19.5" customHeight="1">
      <c r="A2" s="316"/>
      <c r="B2" s="239"/>
      <c r="D2" s="241"/>
      <c r="E2" s="46" t="s">
        <v>362</v>
      </c>
      <c r="F2" s="46"/>
    </row>
    <row r="3" spans="1:6" ht="18.75">
      <c r="A3" s="316"/>
      <c r="B3" s="239"/>
      <c r="D3" s="241"/>
      <c r="E3" s="30" t="s">
        <v>287</v>
      </c>
      <c r="F3" s="31"/>
    </row>
    <row r="4" spans="1:6" ht="18.75">
      <c r="A4" s="316"/>
      <c r="B4" s="239"/>
      <c r="D4" s="241"/>
      <c r="E4" s="30" t="s">
        <v>363</v>
      </c>
      <c r="F4" s="31"/>
    </row>
    <row r="5" spans="1:6" ht="15">
      <c r="A5" s="316"/>
      <c r="B5" s="239"/>
      <c r="D5" s="317"/>
      <c r="E5" s="317"/>
      <c r="F5" s="317"/>
    </row>
    <row r="6" spans="1:6" ht="15">
      <c r="A6" s="316"/>
      <c r="B6" s="239"/>
      <c r="D6" s="242"/>
      <c r="E6" s="242"/>
      <c r="F6" s="4"/>
    </row>
    <row r="7" ht="12.75">
      <c r="A7" s="5"/>
    </row>
    <row r="8" spans="2:6" ht="45" customHeight="1">
      <c r="B8" s="318" t="s">
        <v>187</v>
      </c>
      <c r="C8" s="319"/>
      <c r="D8" s="319"/>
      <c r="E8" s="319"/>
      <c r="F8" s="243"/>
    </row>
    <row r="9" spans="1:6" ht="18.75">
      <c r="A9" s="204">
        <v>21528000000</v>
      </c>
      <c r="B9" s="244"/>
      <c r="C9" s="244"/>
      <c r="D9" s="244"/>
      <c r="E9" s="244"/>
      <c r="F9" s="244"/>
    </row>
    <row r="10" ht="12.75">
      <c r="A10" s="206" t="s">
        <v>389</v>
      </c>
    </row>
    <row r="11" ht="15.75">
      <c r="F11" s="245" t="s">
        <v>369</v>
      </c>
    </row>
    <row r="12" ht="15.75">
      <c r="F12" s="245"/>
    </row>
    <row r="13" spans="1:6" ht="15.75">
      <c r="A13" s="320" t="s">
        <v>370</v>
      </c>
      <c r="B13" s="320" t="s">
        <v>188</v>
      </c>
      <c r="C13" s="320" t="s">
        <v>371</v>
      </c>
      <c r="D13" s="320" t="s">
        <v>372</v>
      </c>
      <c r="E13" s="320" t="s">
        <v>373</v>
      </c>
      <c r="F13" s="320"/>
    </row>
    <row r="14" spans="1:6" ht="31.5">
      <c r="A14" s="320"/>
      <c r="B14" s="320"/>
      <c r="C14" s="320"/>
      <c r="D14" s="320"/>
      <c r="E14" s="26" t="s">
        <v>374</v>
      </c>
      <c r="F14" s="26" t="s">
        <v>375</v>
      </c>
    </row>
    <row r="15" spans="1:6" ht="12.75">
      <c r="A15" s="246">
        <v>1</v>
      </c>
      <c r="B15" s="246">
        <v>2</v>
      </c>
      <c r="C15" s="246">
        <v>3</v>
      </c>
      <c r="D15" s="246">
        <v>4</v>
      </c>
      <c r="E15" s="246">
        <v>5</v>
      </c>
      <c r="F15" s="246">
        <v>6</v>
      </c>
    </row>
    <row r="16" spans="1:6" ht="15.75">
      <c r="A16" s="26">
        <v>10000000</v>
      </c>
      <c r="B16" s="247" t="s">
        <v>189</v>
      </c>
      <c r="C16" s="248">
        <f>D16+E16</f>
        <v>359760147</v>
      </c>
      <c r="D16" s="248">
        <f>D17+D25+D28+D34+D53</f>
        <v>359600147</v>
      </c>
      <c r="E16" s="248">
        <f>E17+E25+E28+E34+E53</f>
        <v>160000</v>
      </c>
      <c r="F16" s="248"/>
    </row>
    <row r="17" spans="1:8" ht="47.25">
      <c r="A17" s="249">
        <v>11000000</v>
      </c>
      <c r="B17" s="250" t="s">
        <v>190</v>
      </c>
      <c r="C17" s="248">
        <f aca="true" t="shared" si="0" ref="C17:C92">D17+E17</f>
        <v>231246947</v>
      </c>
      <c r="D17" s="248">
        <f>D18+D23</f>
        <v>231246947</v>
      </c>
      <c r="E17" s="248"/>
      <c r="F17" s="248"/>
      <c r="H17" s="251"/>
    </row>
    <row r="18" spans="1:6" ht="15.75">
      <c r="A18" s="249">
        <v>11010000</v>
      </c>
      <c r="B18" s="250" t="s">
        <v>191</v>
      </c>
      <c r="C18" s="248">
        <f t="shared" si="0"/>
        <v>231238947</v>
      </c>
      <c r="D18" s="248">
        <f>SUM(D19:D22)</f>
        <v>231238947</v>
      </c>
      <c r="E18" s="248"/>
      <c r="F18" s="248"/>
    </row>
    <row r="19" spans="1:6" ht="78" customHeight="1">
      <c r="A19" s="249">
        <v>11010100</v>
      </c>
      <c r="B19" s="250" t="s">
        <v>193</v>
      </c>
      <c r="C19" s="248">
        <f t="shared" si="0"/>
        <v>169318201</v>
      </c>
      <c r="D19" s="248">
        <f>166444397+2203990+40000+629814</f>
        <v>169318201</v>
      </c>
      <c r="E19" s="248"/>
      <c r="F19" s="248"/>
    </row>
    <row r="20" spans="1:6" ht="99.75" customHeight="1">
      <c r="A20" s="249">
        <v>11010200</v>
      </c>
      <c r="B20" s="250" t="s">
        <v>194</v>
      </c>
      <c r="C20" s="248">
        <f t="shared" si="0"/>
        <v>52795746</v>
      </c>
      <c r="D20" s="248">
        <f>48015000+2634330+1285346+861070</f>
        <v>52795746</v>
      </c>
      <c r="E20" s="248"/>
      <c r="F20" s="248"/>
    </row>
    <row r="21" spans="1:6" ht="63">
      <c r="A21" s="249">
        <v>11010400</v>
      </c>
      <c r="B21" s="250" t="s">
        <v>195</v>
      </c>
      <c r="C21" s="248">
        <f t="shared" si="0"/>
        <v>6131600</v>
      </c>
      <c r="D21" s="248">
        <v>6131600</v>
      </c>
      <c r="E21" s="248"/>
      <c r="F21" s="248"/>
    </row>
    <row r="22" spans="1:6" ht="47.25">
      <c r="A22" s="249">
        <v>11010500</v>
      </c>
      <c r="B22" s="250" t="s">
        <v>196</v>
      </c>
      <c r="C22" s="248">
        <f t="shared" si="0"/>
        <v>2993400</v>
      </c>
      <c r="D22" s="248">
        <v>2993400</v>
      </c>
      <c r="E22" s="248"/>
      <c r="F22" s="248"/>
    </row>
    <row r="23" spans="1:6" ht="15.75">
      <c r="A23" s="249">
        <v>11020000</v>
      </c>
      <c r="B23" s="250" t="s">
        <v>197</v>
      </c>
      <c r="C23" s="248">
        <f t="shared" si="0"/>
        <v>8000</v>
      </c>
      <c r="D23" s="248">
        <f>D24</f>
        <v>8000</v>
      </c>
      <c r="E23" s="248"/>
      <c r="F23" s="248"/>
    </row>
    <row r="24" spans="1:6" ht="47.25">
      <c r="A24" s="249">
        <v>11020200</v>
      </c>
      <c r="B24" s="250" t="s">
        <v>198</v>
      </c>
      <c r="C24" s="248">
        <f t="shared" si="0"/>
        <v>8000</v>
      </c>
      <c r="D24" s="248">
        <v>8000</v>
      </c>
      <c r="E24" s="248"/>
      <c r="F24" s="248"/>
    </row>
    <row r="25" spans="1:6" ht="31.5">
      <c r="A25" s="249">
        <v>13000000</v>
      </c>
      <c r="B25" s="250" t="s">
        <v>199</v>
      </c>
      <c r="C25" s="248">
        <f t="shared" si="0"/>
        <v>81000</v>
      </c>
      <c r="D25" s="248">
        <f>D26</f>
        <v>81000</v>
      </c>
      <c r="E25" s="248"/>
      <c r="F25" s="248"/>
    </row>
    <row r="26" spans="1:6" ht="15.75">
      <c r="A26" s="249">
        <v>13030000</v>
      </c>
      <c r="B26" s="252" t="s">
        <v>200</v>
      </c>
      <c r="C26" s="248">
        <f t="shared" si="0"/>
        <v>81000</v>
      </c>
      <c r="D26" s="248">
        <f>D27</f>
        <v>81000</v>
      </c>
      <c r="E26" s="248"/>
      <c r="F26" s="248"/>
    </row>
    <row r="27" spans="1:8" ht="47.25">
      <c r="A27" s="249">
        <v>13030100</v>
      </c>
      <c r="B27" s="250" t="s">
        <v>201</v>
      </c>
      <c r="C27" s="248">
        <f t="shared" si="0"/>
        <v>81000</v>
      </c>
      <c r="D27" s="248">
        <v>81000</v>
      </c>
      <c r="E27" s="248"/>
      <c r="F27" s="248"/>
      <c r="H27" s="251"/>
    </row>
    <row r="28" spans="1:6" ht="15.75">
      <c r="A28" s="249">
        <v>14000000</v>
      </c>
      <c r="B28" s="250" t="s">
        <v>202</v>
      </c>
      <c r="C28" s="248">
        <f t="shared" si="0"/>
        <v>38881400</v>
      </c>
      <c r="D28" s="248">
        <f>D33+D29+D31</f>
        <v>38881400</v>
      </c>
      <c r="E28" s="248"/>
      <c r="F28" s="248"/>
    </row>
    <row r="29" spans="1:6" ht="31.5">
      <c r="A29" s="249">
        <v>14020000</v>
      </c>
      <c r="B29" s="250" t="s">
        <v>203</v>
      </c>
      <c r="C29" s="248">
        <f t="shared" si="0"/>
        <v>3018100</v>
      </c>
      <c r="D29" s="248">
        <f>D30</f>
        <v>3018100</v>
      </c>
      <c r="E29" s="248"/>
      <c r="F29" s="248"/>
    </row>
    <row r="30" spans="1:6" ht="15.75">
      <c r="A30" s="249">
        <v>14021900</v>
      </c>
      <c r="B30" s="250" t="s">
        <v>204</v>
      </c>
      <c r="C30" s="248">
        <f t="shared" si="0"/>
        <v>3018100</v>
      </c>
      <c r="D30" s="248">
        <v>3018100</v>
      </c>
      <c r="E30" s="248"/>
      <c r="F30" s="248"/>
    </row>
    <row r="31" spans="1:8" ht="47.25">
      <c r="A31" s="249">
        <v>14030000</v>
      </c>
      <c r="B31" s="250" t="s">
        <v>205</v>
      </c>
      <c r="C31" s="248">
        <f t="shared" si="0"/>
        <v>12996000</v>
      </c>
      <c r="D31" s="248">
        <f>D32</f>
        <v>12996000</v>
      </c>
      <c r="E31" s="248"/>
      <c r="F31" s="248"/>
      <c r="H31">
        <f>D29+D31</f>
        <v>16014100</v>
      </c>
    </row>
    <row r="32" spans="1:6" ht="15.75">
      <c r="A32" s="249">
        <v>14031900</v>
      </c>
      <c r="B32" s="250" t="s">
        <v>204</v>
      </c>
      <c r="C32" s="248">
        <f t="shared" si="0"/>
        <v>12996000</v>
      </c>
      <c r="D32" s="248">
        <v>12996000</v>
      </c>
      <c r="E32" s="248"/>
      <c r="F32" s="248"/>
    </row>
    <row r="33" spans="1:6" ht="47.25">
      <c r="A33" s="249">
        <v>14040000</v>
      </c>
      <c r="B33" s="250" t="s">
        <v>206</v>
      </c>
      <c r="C33" s="248">
        <f t="shared" si="0"/>
        <v>22867300</v>
      </c>
      <c r="D33" s="248">
        <v>22867300</v>
      </c>
      <c r="E33" s="248"/>
      <c r="F33" s="248"/>
    </row>
    <row r="34" spans="1:8" ht="15.75">
      <c r="A34" s="249">
        <v>18000000</v>
      </c>
      <c r="B34" s="250" t="s">
        <v>207</v>
      </c>
      <c r="C34" s="248">
        <f t="shared" si="0"/>
        <v>89390800</v>
      </c>
      <c r="D34" s="248">
        <f>D35+D46+D49</f>
        <v>89390800</v>
      </c>
      <c r="E34" s="248"/>
      <c r="F34" s="248"/>
      <c r="H34" s="251"/>
    </row>
    <row r="35" spans="1:6" ht="15.75">
      <c r="A35" s="249">
        <v>18010000</v>
      </c>
      <c r="B35" s="250" t="s">
        <v>208</v>
      </c>
      <c r="C35" s="248">
        <f t="shared" si="0"/>
        <v>41095300</v>
      </c>
      <c r="D35" s="248">
        <f>SUM(D36:D45)</f>
        <v>41095300</v>
      </c>
      <c r="E35" s="248"/>
      <c r="F35" s="248"/>
    </row>
    <row r="36" spans="1:6" ht="63">
      <c r="A36" s="249">
        <v>18010100</v>
      </c>
      <c r="B36" s="27" t="s">
        <v>209</v>
      </c>
      <c r="C36" s="248">
        <f t="shared" si="0"/>
        <v>64400</v>
      </c>
      <c r="D36" s="248">
        <v>64400</v>
      </c>
      <c r="E36" s="248"/>
      <c r="F36" s="248"/>
    </row>
    <row r="37" spans="1:6" ht="75.75" customHeight="1">
      <c r="A37" s="249">
        <v>18010200</v>
      </c>
      <c r="B37" s="27" t="s">
        <v>210</v>
      </c>
      <c r="C37" s="248">
        <f t="shared" si="0"/>
        <v>380900</v>
      </c>
      <c r="D37" s="248">
        <v>380900</v>
      </c>
      <c r="E37" s="248"/>
      <c r="F37" s="248"/>
    </row>
    <row r="38" spans="1:6" ht="74.25" customHeight="1">
      <c r="A38" s="249">
        <v>18010300</v>
      </c>
      <c r="B38" s="27" t="s">
        <v>211</v>
      </c>
      <c r="C38" s="248">
        <f t="shared" si="0"/>
        <v>510700</v>
      </c>
      <c r="D38" s="248">
        <v>510700</v>
      </c>
      <c r="E38" s="248"/>
      <c r="F38" s="248"/>
    </row>
    <row r="39" spans="1:6" ht="63">
      <c r="A39" s="249">
        <v>18010400</v>
      </c>
      <c r="B39" s="27" t="s">
        <v>212</v>
      </c>
      <c r="C39" s="248">
        <f t="shared" si="0"/>
        <v>2230400</v>
      </c>
      <c r="D39" s="248">
        <v>2230400</v>
      </c>
      <c r="E39" s="248"/>
      <c r="F39" s="248"/>
    </row>
    <row r="40" spans="1:6" ht="15.75">
      <c r="A40" s="249">
        <v>18010500</v>
      </c>
      <c r="B40" s="27" t="s">
        <v>213</v>
      </c>
      <c r="C40" s="248">
        <f t="shared" si="0"/>
        <v>11276300</v>
      </c>
      <c r="D40" s="248">
        <v>11276300</v>
      </c>
      <c r="E40" s="248"/>
      <c r="F40" s="248"/>
    </row>
    <row r="41" spans="1:6" ht="15.75">
      <c r="A41" s="249">
        <v>18010600</v>
      </c>
      <c r="B41" s="27" t="s">
        <v>214</v>
      </c>
      <c r="C41" s="248">
        <f t="shared" si="0"/>
        <v>18884000</v>
      </c>
      <c r="D41" s="248">
        <v>18884000</v>
      </c>
      <c r="E41" s="248"/>
      <c r="F41" s="248"/>
    </row>
    <row r="42" spans="1:6" ht="15.75">
      <c r="A42" s="249">
        <v>18010700</v>
      </c>
      <c r="B42" s="27" t="s">
        <v>215</v>
      </c>
      <c r="C42" s="248">
        <f t="shared" si="0"/>
        <v>1296100</v>
      </c>
      <c r="D42" s="248">
        <v>1296100</v>
      </c>
      <c r="E42" s="248"/>
      <c r="F42" s="248"/>
    </row>
    <row r="43" spans="1:6" ht="15.75">
      <c r="A43" s="249">
        <v>18010900</v>
      </c>
      <c r="B43" s="27" t="s">
        <v>216</v>
      </c>
      <c r="C43" s="248">
        <f t="shared" si="0"/>
        <v>6177500</v>
      </c>
      <c r="D43" s="248">
        <v>6177500</v>
      </c>
      <c r="E43" s="248"/>
      <c r="F43" s="248"/>
    </row>
    <row r="44" spans="1:6" ht="15.75">
      <c r="A44" s="249">
        <v>18011000</v>
      </c>
      <c r="B44" s="27" t="s">
        <v>217</v>
      </c>
      <c r="C44" s="248">
        <f t="shared" si="0"/>
        <v>175000</v>
      </c>
      <c r="D44" s="248">
        <v>175000</v>
      </c>
      <c r="E44" s="248"/>
      <c r="F44" s="248"/>
    </row>
    <row r="45" spans="1:6" ht="31.5">
      <c r="A45" s="249">
        <v>18011100</v>
      </c>
      <c r="B45" s="198" t="s">
        <v>218</v>
      </c>
      <c r="C45" s="248">
        <f t="shared" si="0"/>
        <v>100000</v>
      </c>
      <c r="D45" s="248">
        <v>100000</v>
      </c>
      <c r="E45" s="248"/>
      <c r="F45" s="248"/>
    </row>
    <row r="46" spans="1:6" ht="15.75">
      <c r="A46" s="249">
        <v>18030000</v>
      </c>
      <c r="B46" s="198" t="s">
        <v>219</v>
      </c>
      <c r="C46" s="248">
        <f t="shared" si="0"/>
        <v>136400</v>
      </c>
      <c r="D46" s="248">
        <f>SUM(D47:D48)</f>
        <v>136400</v>
      </c>
      <c r="E46" s="248"/>
      <c r="F46" s="248"/>
    </row>
    <row r="47" spans="1:6" ht="31.5">
      <c r="A47" s="249">
        <v>18030100</v>
      </c>
      <c r="B47" s="198" t="s">
        <v>220</v>
      </c>
      <c r="C47" s="248">
        <f t="shared" si="0"/>
        <v>50600</v>
      </c>
      <c r="D47" s="248">
        <v>50600</v>
      </c>
      <c r="E47" s="248"/>
      <c r="F47" s="248"/>
    </row>
    <row r="48" spans="1:6" ht="31.5">
      <c r="A48" s="249">
        <v>18030200</v>
      </c>
      <c r="B48" s="198" t="s">
        <v>221</v>
      </c>
      <c r="C48" s="248">
        <f t="shared" si="0"/>
        <v>85800</v>
      </c>
      <c r="D48" s="248">
        <v>85800</v>
      </c>
      <c r="E48" s="248"/>
      <c r="F48" s="248"/>
    </row>
    <row r="49" spans="1:6" ht="15.75">
      <c r="A49" s="249">
        <v>18050000</v>
      </c>
      <c r="B49" s="253" t="s">
        <v>222</v>
      </c>
      <c r="C49" s="248">
        <f t="shared" si="0"/>
        <v>48159100</v>
      </c>
      <c r="D49" s="248">
        <f>SUM(D50:D52)</f>
        <v>48159100</v>
      </c>
      <c r="E49" s="248"/>
      <c r="F49" s="248"/>
    </row>
    <row r="50" spans="1:6" ht="15.75">
      <c r="A50" s="249">
        <v>18050300</v>
      </c>
      <c r="B50" s="253" t="s">
        <v>223</v>
      </c>
      <c r="C50" s="248">
        <f t="shared" si="0"/>
        <v>8744700</v>
      </c>
      <c r="D50" s="248">
        <v>8744700</v>
      </c>
      <c r="E50" s="248"/>
      <c r="F50" s="248"/>
    </row>
    <row r="51" spans="1:6" ht="15.75">
      <c r="A51" s="249">
        <v>18050400</v>
      </c>
      <c r="B51" s="253" t="s">
        <v>224</v>
      </c>
      <c r="C51" s="248">
        <f t="shared" si="0"/>
        <v>38423800</v>
      </c>
      <c r="D51" s="248">
        <v>38423800</v>
      </c>
      <c r="E51" s="248"/>
      <c r="F51" s="248"/>
    </row>
    <row r="52" spans="1:6" ht="110.25">
      <c r="A52" s="249">
        <v>18050500</v>
      </c>
      <c r="B52" s="27" t="s">
        <v>225</v>
      </c>
      <c r="C52" s="248">
        <f t="shared" si="0"/>
        <v>990600</v>
      </c>
      <c r="D52" s="248">
        <v>990600</v>
      </c>
      <c r="E52" s="248"/>
      <c r="F52" s="248"/>
    </row>
    <row r="53" spans="1:6" ht="15.75">
      <c r="A53" s="249">
        <v>19000000</v>
      </c>
      <c r="B53" s="250" t="s">
        <v>226</v>
      </c>
      <c r="C53" s="248">
        <f t="shared" si="0"/>
        <v>160000</v>
      </c>
      <c r="D53" s="248"/>
      <c r="E53" s="248">
        <f>E54</f>
        <v>160000</v>
      </c>
      <c r="F53" s="248"/>
    </row>
    <row r="54" spans="1:6" ht="15.75">
      <c r="A54" s="249">
        <v>19010000</v>
      </c>
      <c r="B54" s="250" t="s">
        <v>227</v>
      </c>
      <c r="C54" s="248">
        <f t="shared" si="0"/>
        <v>160000</v>
      </c>
      <c r="D54" s="248"/>
      <c r="E54" s="248">
        <f>SUM(E55:E57)</f>
        <v>160000</v>
      </c>
      <c r="F54" s="248"/>
    </row>
    <row r="55" spans="1:6" ht="94.5">
      <c r="A55" s="249">
        <v>19010100</v>
      </c>
      <c r="B55" s="250" t="s">
        <v>228</v>
      </c>
      <c r="C55" s="248">
        <f t="shared" si="0"/>
        <v>31000</v>
      </c>
      <c r="D55" s="248"/>
      <c r="E55" s="254">
        <v>31000</v>
      </c>
      <c r="F55" s="248"/>
    </row>
    <row r="56" spans="1:6" ht="31.5">
      <c r="A56" s="249">
        <v>19010200</v>
      </c>
      <c r="B56" s="250" t="s">
        <v>229</v>
      </c>
      <c r="C56" s="248">
        <f t="shared" si="0"/>
        <v>111000</v>
      </c>
      <c r="D56" s="248"/>
      <c r="E56" s="248">
        <v>111000</v>
      </c>
      <c r="F56" s="248"/>
    </row>
    <row r="57" spans="1:6" ht="63">
      <c r="A57" s="249">
        <v>19010300</v>
      </c>
      <c r="B57" s="250" t="s">
        <v>230</v>
      </c>
      <c r="C57" s="248">
        <f t="shared" si="0"/>
        <v>18000</v>
      </c>
      <c r="D57" s="248"/>
      <c r="E57" s="248">
        <v>18000</v>
      </c>
      <c r="F57" s="248"/>
    </row>
    <row r="58" spans="1:6" ht="15.75">
      <c r="A58" s="26">
        <v>20000000</v>
      </c>
      <c r="B58" s="247" t="s">
        <v>231</v>
      </c>
      <c r="C58" s="248">
        <f t="shared" si="0"/>
        <v>17998495</v>
      </c>
      <c r="D58" s="248">
        <f>D59+D66+D78</f>
        <v>8393472</v>
      </c>
      <c r="E58" s="248">
        <f>E59+E66+E78+E88</f>
        <v>9605023</v>
      </c>
      <c r="F58" s="248">
        <f>F59+F66+F78+F88</f>
        <v>150012</v>
      </c>
    </row>
    <row r="59" spans="1:8" ht="31.5">
      <c r="A59" s="249">
        <v>21000000</v>
      </c>
      <c r="B59" s="250" t="s">
        <v>232</v>
      </c>
      <c r="C59" s="248">
        <f t="shared" si="0"/>
        <v>230972</v>
      </c>
      <c r="D59" s="248">
        <f>D60+D62</f>
        <v>230972</v>
      </c>
      <c r="E59" s="248"/>
      <c r="F59" s="248"/>
      <c r="H59" s="251"/>
    </row>
    <row r="60" spans="1:6" ht="126">
      <c r="A60" s="249">
        <v>21010000</v>
      </c>
      <c r="B60" s="250" t="s">
        <v>233</v>
      </c>
      <c r="C60" s="248">
        <f t="shared" si="0"/>
        <v>60872</v>
      </c>
      <c r="D60" s="248">
        <f>D61</f>
        <v>60872</v>
      </c>
      <c r="E60" s="248"/>
      <c r="F60" s="248"/>
    </row>
    <row r="61" spans="1:6" ht="63">
      <c r="A61" s="249">
        <v>21010300</v>
      </c>
      <c r="B61" s="250" t="s">
        <v>234</v>
      </c>
      <c r="C61" s="248">
        <f t="shared" si="0"/>
        <v>60872</v>
      </c>
      <c r="D61" s="248">
        <f>500+60372</f>
        <v>60872</v>
      </c>
      <c r="E61" s="248"/>
      <c r="F61" s="248"/>
    </row>
    <row r="62" spans="1:6" ht="15.75">
      <c r="A62" s="28">
        <v>21080000</v>
      </c>
      <c r="B62" s="255" t="s">
        <v>235</v>
      </c>
      <c r="C62" s="248">
        <f t="shared" si="0"/>
        <v>170100</v>
      </c>
      <c r="D62" s="248">
        <f>SUM(D63:D65)</f>
        <v>170100</v>
      </c>
      <c r="E62" s="248"/>
      <c r="F62" s="248"/>
    </row>
    <row r="63" spans="1:6" ht="15.75">
      <c r="A63" s="28">
        <v>21081100</v>
      </c>
      <c r="B63" s="198" t="s">
        <v>236</v>
      </c>
      <c r="C63" s="248">
        <f t="shared" si="0"/>
        <v>42800</v>
      </c>
      <c r="D63" s="248">
        <v>42800</v>
      </c>
      <c r="E63" s="248"/>
      <c r="F63" s="248"/>
    </row>
    <row r="64" spans="1:6" ht="63">
      <c r="A64" s="28">
        <v>21081500</v>
      </c>
      <c r="B64" s="198" t="s">
        <v>237</v>
      </c>
      <c r="C64" s="248">
        <f t="shared" si="0"/>
        <v>119000</v>
      </c>
      <c r="D64" s="248">
        <v>119000</v>
      </c>
      <c r="E64" s="248"/>
      <c r="F64" s="248"/>
    </row>
    <row r="65" spans="1:6" ht="31.5">
      <c r="A65" s="28">
        <v>21081700</v>
      </c>
      <c r="B65" s="198" t="s">
        <v>238</v>
      </c>
      <c r="C65" s="248">
        <f t="shared" si="0"/>
        <v>8300</v>
      </c>
      <c r="D65" s="248">
        <v>8300</v>
      </c>
      <c r="E65" s="248"/>
      <c r="F65" s="248"/>
    </row>
    <row r="66" spans="1:6" ht="47.25">
      <c r="A66" s="249">
        <v>22000000</v>
      </c>
      <c r="B66" s="250" t="s">
        <v>239</v>
      </c>
      <c r="C66" s="248">
        <f t="shared" si="0"/>
        <v>7926210</v>
      </c>
      <c r="D66" s="248">
        <f>D67+D72+D74+D77</f>
        <v>7926210</v>
      </c>
      <c r="E66" s="248"/>
      <c r="F66" s="248"/>
    </row>
    <row r="67" spans="1:8" ht="31.5">
      <c r="A67" s="28">
        <v>22010000</v>
      </c>
      <c r="B67" s="198" t="s">
        <v>240</v>
      </c>
      <c r="C67" s="248">
        <f t="shared" si="0"/>
        <v>3752910</v>
      </c>
      <c r="D67" s="248">
        <f>D68+D69+D70+D71</f>
        <v>3752910</v>
      </c>
      <c r="E67" s="248"/>
      <c r="F67" s="248"/>
      <c r="H67" s="251"/>
    </row>
    <row r="68" spans="1:6" ht="63">
      <c r="A68" s="28">
        <v>22010300</v>
      </c>
      <c r="B68" s="198" t="s">
        <v>241</v>
      </c>
      <c r="C68" s="248">
        <f t="shared" si="0"/>
        <v>230000</v>
      </c>
      <c r="D68" s="248">
        <v>230000</v>
      </c>
      <c r="E68" s="248"/>
      <c r="F68" s="248"/>
    </row>
    <row r="69" spans="1:6" ht="31.5">
      <c r="A69" s="28">
        <v>22012500</v>
      </c>
      <c r="B69" s="198" t="s">
        <v>242</v>
      </c>
      <c r="C69" s="248">
        <f t="shared" si="0"/>
        <v>3154100</v>
      </c>
      <c r="D69" s="248">
        <v>3154100</v>
      </c>
      <c r="E69" s="248"/>
      <c r="F69" s="248"/>
    </row>
    <row r="70" spans="1:6" ht="47.25">
      <c r="A70" s="28">
        <v>22012600</v>
      </c>
      <c r="B70" s="198" t="s">
        <v>243</v>
      </c>
      <c r="C70" s="248">
        <f t="shared" si="0"/>
        <v>352000</v>
      </c>
      <c r="D70" s="248">
        <v>352000</v>
      </c>
      <c r="E70" s="248"/>
      <c r="F70" s="248"/>
    </row>
    <row r="71" spans="1:7" ht="141.75">
      <c r="A71" s="28">
        <v>22012900</v>
      </c>
      <c r="B71" s="198" t="s">
        <v>359</v>
      </c>
      <c r="C71" s="248">
        <f t="shared" si="0"/>
        <v>16810</v>
      </c>
      <c r="D71" s="248">
        <v>16810</v>
      </c>
      <c r="E71" s="248"/>
      <c r="F71" s="248"/>
      <c r="G71" s="251"/>
    </row>
    <row r="72" spans="1:6" ht="63">
      <c r="A72" s="249">
        <v>22080000</v>
      </c>
      <c r="B72" s="250" t="s">
        <v>244</v>
      </c>
      <c r="C72" s="248">
        <f t="shared" si="0"/>
        <v>4102000</v>
      </c>
      <c r="D72" s="248">
        <f>D73</f>
        <v>4102000</v>
      </c>
      <c r="E72" s="248"/>
      <c r="F72" s="248"/>
    </row>
    <row r="73" spans="1:6" ht="63">
      <c r="A73" s="249">
        <v>22080400</v>
      </c>
      <c r="B73" s="250" t="s">
        <v>245</v>
      </c>
      <c r="C73" s="248">
        <f t="shared" si="0"/>
        <v>4102000</v>
      </c>
      <c r="D73" s="248">
        <v>4102000</v>
      </c>
      <c r="E73" s="248"/>
      <c r="F73" s="248"/>
    </row>
    <row r="74" spans="1:6" ht="15.75">
      <c r="A74" s="249">
        <v>22090000</v>
      </c>
      <c r="B74" s="250" t="s">
        <v>246</v>
      </c>
      <c r="C74" s="248">
        <f t="shared" si="0"/>
        <v>69300</v>
      </c>
      <c r="D74" s="248">
        <f>SUM(D75:D76)</f>
        <v>69300</v>
      </c>
      <c r="E74" s="248"/>
      <c r="F74" s="248"/>
    </row>
    <row r="75" spans="1:6" ht="63">
      <c r="A75" s="249">
        <v>22090100</v>
      </c>
      <c r="B75" s="250" t="s">
        <v>247</v>
      </c>
      <c r="C75" s="248">
        <f t="shared" si="0"/>
        <v>15300</v>
      </c>
      <c r="D75" s="248">
        <v>15300</v>
      </c>
      <c r="E75" s="248"/>
      <c r="F75" s="248"/>
    </row>
    <row r="76" spans="1:6" ht="63">
      <c r="A76" s="249">
        <v>22090400</v>
      </c>
      <c r="B76" s="250" t="s">
        <v>248</v>
      </c>
      <c r="C76" s="248">
        <f t="shared" si="0"/>
        <v>54000</v>
      </c>
      <c r="D76" s="248">
        <v>54000</v>
      </c>
      <c r="E76" s="248"/>
      <c r="F76" s="248"/>
    </row>
    <row r="77" spans="1:6" ht="126">
      <c r="A77" s="249">
        <v>22130000</v>
      </c>
      <c r="B77" s="250" t="s">
        <v>249</v>
      </c>
      <c r="C77" s="248">
        <f t="shared" si="0"/>
        <v>2000</v>
      </c>
      <c r="D77" s="248">
        <v>2000</v>
      </c>
      <c r="E77" s="248"/>
      <c r="F77" s="248"/>
    </row>
    <row r="78" spans="1:8" ht="15.75">
      <c r="A78" s="249">
        <v>24000000</v>
      </c>
      <c r="B78" s="250" t="s">
        <v>250</v>
      </c>
      <c r="C78" s="248">
        <f t="shared" si="0"/>
        <v>438302</v>
      </c>
      <c r="D78" s="248">
        <f>D79+D80+D85+D87</f>
        <v>236290</v>
      </c>
      <c r="E78" s="248">
        <f>E79+E80+E85+E87</f>
        <v>202012</v>
      </c>
      <c r="F78" s="248">
        <f>F79+F80+F85+F87</f>
        <v>150012</v>
      </c>
      <c r="H78" s="251"/>
    </row>
    <row r="79" spans="1:6" ht="78.75">
      <c r="A79" s="249">
        <v>24030000</v>
      </c>
      <c r="B79" s="250" t="s">
        <v>251</v>
      </c>
      <c r="C79" s="248">
        <f t="shared" si="0"/>
        <v>24200</v>
      </c>
      <c r="D79" s="248">
        <v>24200</v>
      </c>
      <c r="E79" s="248"/>
      <c r="F79" s="248"/>
    </row>
    <row r="80" spans="1:6" ht="15.75">
      <c r="A80" s="249">
        <v>24060000</v>
      </c>
      <c r="B80" s="250" t="s">
        <v>235</v>
      </c>
      <c r="C80" s="248">
        <f t="shared" si="0"/>
        <v>264090</v>
      </c>
      <c r="D80" s="248">
        <f>SUM(D81:D84)</f>
        <v>212090</v>
      </c>
      <c r="E80" s="248">
        <f>SUM(E81:E84)</f>
        <v>52000</v>
      </c>
      <c r="F80" s="248"/>
    </row>
    <row r="81" spans="1:6" ht="15.75">
      <c r="A81" s="249">
        <v>24060300</v>
      </c>
      <c r="B81" s="250" t="s">
        <v>235</v>
      </c>
      <c r="C81" s="248">
        <f t="shared" si="0"/>
        <v>207839</v>
      </c>
      <c r="D81" s="248">
        <f>111700+96139</f>
        <v>207839</v>
      </c>
      <c r="E81" s="248"/>
      <c r="F81" s="248"/>
    </row>
    <row r="82" spans="1:6" ht="31.5">
      <c r="A82" s="249">
        <v>24061600</v>
      </c>
      <c r="B82" s="250" t="s">
        <v>252</v>
      </c>
      <c r="C82" s="248">
        <f t="shared" si="0"/>
        <v>37000</v>
      </c>
      <c r="D82" s="248"/>
      <c r="E82" s="248">
        <v>37000</v>
      </c>
      <c r="F82" s="248"/>
    </row>
    <row r="83" spans="1:6" ht="78.75">
      <c r="A83" s="249">
        <v>24062100</v>
      </c>
      <c r="B83" s="250" t="s">
        <v>253</v>
      </c>
      <c r="C83" s="248">
        <f t="shared" si="0"/>
        <v>15000</v>
      </c>
      <c r="D83" s="248"/>
      <c r="E83" s="248">
        <v>15000</v>
      </c>
      <c r="F83" s="248"/>
    </row>
    <row r="84" spans="1:6" ht="204.75">
      <c r="A84" s="249">
        <v>24062200</v>
      </c>
      <c r="B84" s="250" t="s">
        <v>360</v>
      </c>
      <c r="C84" s="248">
        <f t="shared" si="0"/>
        <v>4251</v>
      </c>
      <c r="D84" s="248">
        <v>4251</v>
      </c>
      <c r="E84" s="248"/>
      <c r="F84" s="248"/>
    </row>
    <row r="85" spans="1:6" ht="31.5">
      <c r="A85" s="249">
        <v>24110000</v>
      </c>
      <c r="B85" s="250" t="s">
        <v>254</v>
      </c>
      <c r="C85" s="248">
        <f t="shared" si="0"/>
        <v>12</v>
      </c>
      <c r="D85" s="248"/>
      <c r="E85" s="248">
        <f>E86</f>
        <v>12</v>
      </c>
      <c r="F85" s="248">
        <f>F86</f>
        <v>12</v>
      </c>
    </row>
    <row r="86" spans="1:6" ht="47.25">
      <c r="A86" s="249">
        <v>24110700</v>
      </c>
      <c r="B86" s="250" t="s">
        <v>255</v>
      </c>
      <c r="C86" s="248">
        <f t="shared" si="0"/>
        <v>12</v>
      </c>
      <c r="D86" s="248"/>
      <c r="E86" s="248">
        <f>F86</f>
        <v>12</v>
      </c>
      <c r="F86" s="248">
        <v>12</v>
      </c>
    </row>
    <row r="87" spans="1:6" ht="47.25">
      <c r="A87" s="249">
        <v>24170000</v>
      </c>
      <c r="B87" s="250" t="s">
        <v>256</v>
      </c>
      <c r="C87" s="248">
        <f t="shared" si="0"/>
        <v>150000</v>
      </c>
      <c r="D87" s="248"/>
      <c r="E87" s="248">
        <f>F87</f>
        <v>150000</v>
      </c>
      <c r="F87" s="248">
        <v>150000</v>
      </c>
    </row>
    <row r="88" spans="1:6" ht="31.5">
      <c r="A88" s="249">
        <v>25000000</v>
      </c>
      <c r="B88" s="250" t="s">
        <v>257</v>
      </c>
      <c r="C88" s="248">
        <f t="shared" si="0"/>
        <v>9403011</v>
      </c>
      <c r="D88" s="248"/>
      <c r="E88" s="248">
        <f>E89</f>
        <v>9403011</v>
      </c>
      <c r="F88" s="248"/>
    </row>
    <row r="89" spans="1:6" ht="47.25">
      <c r="A89" s="249">
        <v>25010000</v>
      </c>
      <c r="B89" s="250" t="s">
        <v>258</v>
      </c>
      <c r="C89" s="248">
        <f t="shared" si="0"/>
        <v>9403011</v>
      </c>
      <c r="D89" s="248"/>
      <c r="E89" s="248">
        <f>SUM(E90:E92)</f>
        <v>9403011</v>
      </c>
      <c r="F89" s="248"/>
    </row>
    <row r="90" spans="1:6" ht="47.25">
      <c r="A90" s="249">
        <v>25010100</v>
      </c>
      <c r="B90" s="250" t="s">
        <v>259</v>
      </c>
      <c r="C90" s="248">
        <f t="shared" si="0"/>
        <v>9293463</v>
      </c>
      <c r="D90" s="248"/>
      <c r="E90" s="248">
        <f>8855553+437910</f>
        <v>9293463</v>
      </c>
      <c r="F90" s="248"/>
    </row>
    <row r="91" spans="1:6" ht="63">
      <c r="A91" s="249">
        <v>25010300</v>
      </c>
      <c r="B91" s="250" t="s">
        <v>260</v>
      </c>
      <c r="C91" s="248">
        <f t="shared" si="0"/>
        <v>107748</v>
      </c>
      <c r="D91" s="248"/>
      <c r="E91" s="248">
        <f>86748+21000</f>
        <v>107748</v>
      </c>
      <c r="F91" s="248"/>
    </row>
    <row r="92" spans="1:6" ht="47.25">
      <c r="A92" s="249">
        <v>25010400</v>
      </c>
      <c r="B92" s="250" t="s">
        <v>261</v>
      </c>
      <c r="C92" s="248">
        <f t="shared" si="0"/>
        <v>1800</v>
      </c>
      <c r="D92" s="248"/>
      <c r="E92" s="248">
        <v>1800</v>
      </c>
      <c r="F92" s="248"/>
    </row>
    <row r="93" spans="1:6" ht="15.75">
      <c r="A93" s="26">
        <v>30000000</v>
      </c>
      <c r="B93" s="247" t="s">
        <v>262</v>
      </c>
      <c r="C93" s="248">
        <f aca="true" t="shared" si="1" ref="C93:C121">D93+E93</f>
        <v>2744800</v>
      </c>
      <c r="D93" s="248">
        <f>D94+D99</f>
        <v>5800</v>
      </c>
      <c r="E93" s="248">
        <f>E94+E99</f>
        <v>2739000</v>
      </c>
      <c r="F93" s="248">
        <f>F94+F99</f>
        <v>2739000</v>
      </c>
    </row>
    <row r="94" spans="1:6" ht="31.5">
      <c r="A94" s="249">
        <v>31000000</v>
      </c>
      <c r="B94" s="250" t="s">
        <v>263</v>
      </c>
      <c r="C94" s="248">
        <f t="shared" si="1"/>
        <v>644800</v>
      </c>
      <c r="D94" s="248">
        <f>D95+D97+D98</f>
        <v>5800</v>
      </c>
      <c r="E94" s="248">
        <f>E95+E97+E98</f>
        <v>639000</v>
      </c>
      <c r="F94" s="248">
        <f>F95+F97+F98</f>
        <v>639000</v>
      </c>
    </row>
    <row r="95" spans="1:8" ht="114" customHeight="1">
      <c r="A95" s="249">
        <v>31010000</v>
      </c>
      <c r="B95" s="250" t="s">
        <v>264</v>
      </c>
      <c r="C95" s="248">
        <f t="shared" si="1"/>
        <v>4100</v>
      </c>
      <c r="D95" s="248">
        <f>D96+D98</f>
        <v>4100</v>
      </c>
      <c r="E95" s="248"/>
      <c r="F95" s="248"/>
      <c r="H95" s="251"/>
    </row>
    <row r="96" spans="1:6" ht="102" customHeight="1">
      <c r="A96" s="249">
        <v>31010200</v>
      </c>
      <c r="B96" s="250" t="s">
        <v>265</v>
      </c>
      <c r="C96" s="248">
        <f t="shared" si="1"/>
        <v>4100</v>
      </c>
      <c r="D96" s="248">
        <v>4100</v>
      </c>
      <c r="E96" s="248"/>
      <c r="F96" s="248"/>
    </row>
    <row r="97" spans="1:6" ht="54" customHeight="1">
      <c r="A97" s="249">
        <v>31020000</v>
      </c>
      <c r="B97" s="250" t="s">
        <v>266</v>
      </c>
      <c r="C97" s="248">
        <f t="shared" si="1"/>
        <v>1700</v>
      </c>
      <c r="D97" s="248">
        <v>1700</v>
      </c>
      <c r="E97" s="248"/>
      <c r="F97" s="248"/>
    </row>
    <row r="98" spans="1:6" ht="66" customHeight="1">
      <c r="A98" s="249">
        <v>31030000</v>
      </c>
      <c r="B98" s="250" t="s">
        <v>267</v>
      </c>
      <c r="C98" s="248">
        <f t="shared" si="1"/>
        <v>639000</v>
      </c>
      <c r="D98" s="248"/>
      <c r="E98" s="248">
        <f>F98</f>
        <v>639000</v>
      </c>
      <c r="F98" s="248">
        <v>639000</v>
      </c>
    </row>
    <row r="99" spans="1:6" ht="36" customHeight="1">
      <c r="A99" s="249">
        <v>33000000</v>
      </c>
      <c r="B99" s="250" t="s">
        <v>268</v>
      </c>
      <c r="C99" s="248">
        <f t="shared" si="1"/>
        <v>2100000</v>
      </c>
      <c r="D99" s="248"/>
      <c r="E99" s="248">
        <f>E100</f>
        <v>2100000</v>
      </c>
      <c r="F99" s="248">
        <f>F100</f>
        <v>2100000</v>
      </c>
    </row>
    <row r="100" spans="1:6" ht="15.75">
      <c r="A100" s="249">
        <v>33010000</v>
      </c>
      <c r="B100" s="250" t="s">
        <v>269</v>
      </c>
      <c r="C100" s="248">
        <f t="shared" si="1"/>
        <v>2100000</v>
      </c>
      <c r="D100" s="248"/>
      <c r="E100" s="248">
        <f>E101</f>
        <v>2100000</v>
      </c>
      <c r="F100" s="248">
        <f>F101</f>
        <v>2100000</v>
      </c>
    </row>
    <row r="101" spans="1:6" ht="94.5">
      <c r="A101" s="249">
        <v>33010100</v>
      </c>
      <c r="B101" s="250" t="s">
        <v>270</v>
      </c>
      <c r="C101" s="248">
        <f t="shared" si="1"/>
        <v>2100000</v>
      </c>
      <c r="D101" s="248"/>
      <c r="E101" s="248">
        <f>F101</f>
        <v>2100000</v>
      </c>
      <c r="F101" s="248">
        <v>2100000</v>
      </c>
    </row>
    <row r="102" spans="1:6" ht="37.5" customHeight="1">
      <c r="A102" s="26"/>
      <c r="B102" s="256" t="s">
        <v>271</v>
      </c>
      <c r="C102" s="257">
        <f t="shared" si="1"/>
        <v>380503442</v>
      </c>
      <c r="D102" s="257">
        <f>D16+D58+D93</f>
        <v>367999419</v>
      </c>
      <c r="E102" s="257">
        <f>E16+E58+E93</f>
        <v>12504023</v>
      </c>
      <c r="F102" s="257">
        <f>F16+F58+F93</f>
        <v>2889012</v>
      </c>
    </row>
    <row r="103" spans="1:6" ht="21" customHeight="1">
      <c r="A103" s="26">
        <v>40000000</v>
      </c>
      <c r="B103" s="247" t="s">
        <v>272</v>
      </c>
      <c r="C103" s="248">
        <f t="shared" si="1"/>
        <v>152705851</v>
      </c>
      <c r="D103" s="248">
        <f>D104</f>
        <v>152205851</v>
      </c>
      <c r="E103" s="248">
        <f>E104</f>
        <v>500000</v>
      </c>
      <c r="F103" s="248">
        <f>F104</f>
        <v>500000</v>
      </c>
    </row>
    <row r="104" spans="1:6" ht="21" customHeight="1">
      <c r="A104" s="249">
        <v>41000000</v>
      </c>
      <c r="B104" s="250" t="s">
        <v>273</v>
      </c>
      <c r="C104" s="248">
        <f t="shared" si="1"/>
        <v>152705851</v>
      </c>
      <c r="D104" s="248">
        <f>D105+D107+D111+D113</f>
        <v>152205851</v>
      </c>
      <c r="E104" s="248">
        <f>E105+E107+E111+E113</f>
        <v>500000</v>
      </c>
      <c r="F104" s="248">
        <f>F105+F107+F111+F113</f>
        <v>500000</v>
      </c>
    </row>
    <row r="105" spans="1:6" ht="39" customHeight="1">
      <c r="A105" s="249">
        <v>41020000</v>
      </c>
      <c r="B105" s="250" t="s">
        <v>274</v>
      </c>
      <c r="C105" s="248">
        <f t="shared" si="1"/>
        <v>15385300</v>
      </c>
      <c r="D105" s="248">
        <f>D106</f>
        <v>15385300</v>
      </c>
      <c r="E105" s="248"/>
      <c r="F105" s="248"/>
    </row>
    <row r="106" spans="1:6" ht="21.75" customHeight="1">
      <c r="A106" s="249">
        <v>41020100</v>
      </c>
      <c r="B106" s="250" t="s">
        <v>275</v>
      </c>
      <c r="C106" s="248">
        <f t="shared" si="1"/>
        <v>15385300</v>
      </c>
      <c r="D106" s="248">
        <v>15385300</v>
      </c>
      <c r="E106" s="248"/>
      <c r="F106" s="248"/>
    </row>
    <row r="107" spans="1:6" ht="35.25" customHeight="1">
      <c r="A107" s="249">
        <v>41030000</v>
      </c>
      <c r="B107" s="250" t="s">
        <v>276</v>
      </c>
      <c r="C107" s="248">
        <f t="shared" si="1"/>
        <v>128322400</v>
      </c>
      <c r="D107" s="248">
        <f>SUM(D108:D110)</f>
        <v>128322400</v>
      </c>
      <c r="E107" s="248"/>
      <c r="F107" s="248"/>
    </row>
    <row r="108" spans="1:6" ht="36" customHeight="1">
      <c r="A108" s="249">
        <v>41033900</v>
      </c>
      <c r="B108" s="27" t="s">
        <v>277</v>
      </c>
      <c r="C108" s="248">
        <f t="shared" si="1"/>
        <v>114030000</v>
      </c>
      <c r="D108" s="248">
        <f>94732600+19297400</f>
        <v>114030000</v>
      </c>
      <c r="E108" s="248"/>
      <c r="F108" s="248"/>
    </row>
    <row r="109" spans="1:6" ht="33.75" customHeight="1">
      <c r="A109" s="249">
        <v>41034200</v>
      </c>
      <c r="B109" s="27" t="s">
        <v>278</v>
      </c>
      <c r="C109" s="248">
        <f t="shared" si="1"/>
        <v>13792400</v>
      </c>
      <c r="D109" s="248">
        <v>13792400</v>
      </c>
      <c r="E109" s="248"/>
      <c r="F109" s="248"/>
    </row>
    <row r="110" spans="1:6" ht="70.5" customHeight="1">
      <c r="A110" s="249">
        <v>41034500</v>
      </c>
      <c r="B110" s="27" t="s">
        <v>298</v>
      </c>
      <c r="C110" s="248">
        <f>D110</f>
        <v>500000</v>
      </c>
      <c r="D110" s="248">
        <v>500000</v>
      </c>
      <c r="E110" s="248"/>
      <c r="F110" s="248"/>
    </row>
    <row r="111" spans="1:6" ht="37.5" customHeight="1">
      <c r="A111" s="249">
        <v>41040000</v>
      </c>
      <c r="B111" s="27" t="s">
        <v>279</v>
      </c>
      <c r="C111" s="248">
        <f t="shared" si="1"/>
        <v>1256800</v>
      </c>
      <c r="D111" s="248">
        <f>D112</f>
        <v>1256800</v>
      </c>
      <c r="E111" s="248"/>
      <c r="F111" s="248"/>
    </row>
    <row r="112" spans="1:6" ht="96" customHeight="1">
      <c r="A112" s="249">
        <v>41040200</v>
      </c>
      <c r="B112" s="27" t="s">
        <v>687</v>
      </c>
      <c r="C112" s="248">
        <f t="shared" si="1"/>
        <v>1256800</v>
      </c>
      <c r="D112" s="248">
        <v>1256800</v>
      </c>
      <c r="E112" s="248"/>
      <c r="F112" s="248"/>
    </row>
    <row r="113" spans="1:9" ht="37.5" customHeight="1">
      <c r="A113" s="249">
        <v>41050000</v>
      </c>
      <c r="B113" s="27" t="s">
        <v>280</v>
      </c>
      <c r="C113" s="248">
        <f t="shared" si="1"/>
        <v>7741351</v>
      </c>
      <c r="D113" s="248">
        <f>SUM(D114:D121)</f>
        <v>7241351</v>
      </c>
      <c r="E113" s="248">
        <f>SUM(E114:E121)</f>
        <v>500000</v>
      </c>
      <c r="F113" s="248">
        <f>SUM(F114:F121)</f>
        <v>500000</v>
      </c>
      <c r="H113" s="251">
        <f>C111+C113</f>
        <v>8998151</v>
      </c>
      <c r="I113" s="258"/>
    </row>
    <row r="114" spans="1:6" ht="69" customHeight="1">
      <c r="A114" s="249">
        <v>41051000</v>
      </c>
      <c r="B114" s="27" t="s">
        <v>688</v>
      </c>
      <c r="C114" s="248">
        <f t="shared" si="1"/>
        <v>844767</v>
      </c>
      <c r="D114" s="248">
        <v>844767</v>
      </c>
      <c r="E114" s="248"/>
      <c r="F114" s="248"/>
    </row>
    <row r="115" spans="1:6" ht="69" customHeight="1">
      <c r="A115" s="249">
        <v>41051100</v>
      </c>
      <c r="B115" s="27" t="s">
        <v>281</v>
      </c>
      <c r="C115" s="248">
        <f t="shared" si="1"/>
        <v>812944</v>
      </c>
      <c r="D115" s="248">
        <f>243600+569344</f>
        <v>812944</v>
      </c>
      <c r="E115" s="248"/>
      <c r="F115" s="248"/>
    </row>
    <row r="116" spans="1:6" ht="88.5" customHeight="1">
      <c r="A116" s="249">
        <v>41051200</v>
      </c>
      <c r="B116" s="27" t="s">
        <v>282</v>
      </c>
      <c r="C116" s="248">
        <f t="shared" si="1"/>
        <v>936531</v>
      </c>
      <c r="D116" s="248">
        <f>279900+233250-44583+467964</f>
        <v>936531</v>
      </c>
      <c r="E116" s="248"/>
      <c r="F116" s="248"/>
    </row>
    <row r="117" spans="1:6" ht="97.5" customHeight="1">
      <c r="A117" s="249">
        <v>41051400</v>
      </c>
      <c r="B117" s="27" t="s">
        <v>505</v>
      </c>
      <c r="C117" s="248">
        <f t="shared" si="1"/>
        <v>1730302</v>
      </c>
      <c r="D117" s="248">
        <f>2056740+2418-328856</f>
        <v>1730302</v>
      </c>
      <c r="E117" s="248"/>
      <c r="F117" s="248"/>
    </row>
    <row r="118" spans="1:6" ht="69" customHeight="1">
      <c r="A118" s="249">
        <v>41051500</v>
      </c>
      <c r="B118" s="27" t="s">
        <v>283</v>
      </c>
      <c r="C118" s="248">
        <f t="shared" si="1"/>
        <v>432000</v>
      </c>
      <c r="D118" s="248">
        <v>432000</v>
      </c>
      <c r="E118" s="248"/>
      <c r="F118" s="248"/>
    </row>
    <row r="119" spans="1:6" ht="21.75" customHeight="1">
      <c r="A119" s="249">
        <v>41053900</v>
      </c>
      <c r="B119" s="27" t="s">
        <v>284</v>
      </c>
      <c r="C119" s="248">
        <f t="shared" si="1"/>
        <v>647000</v>
      </c>
      <c r="D119" s="248">
        <f>147000+500000-500000</f>
        <v>147000</v>
      </c>
      <c r="E119" s="248">
        <f>F119</f>
        <v>500000</v>
      </c>
      <c r="F119" s="248">
        <v>500000</v>
      </c>
    </row>
    <row r="120" spans="1:6" s="281" customFormat="1" ht="78.75">
      <c r="A120" s="249">
        <v>41054900</v>
      </c>
      <c r="B120" s="280" t="s">
        <v>340</v>
      </c>
      <c r="C120" s="248">
        <f t="shared" si="1"/>
        <v>935007</v>
      </c>
      <c r="D120" s="248">
        <v>935007</v>
      </c>
      <c r="E120" s="248"/>
      <c r="F120" s="248"/>
    </row>
    <row r="121" spans="1:6" ht="78.75">
      <c r="A121" s="249">
        <v>41055000</v>
      </c>
      <c r="B121" s="27" t="s">
        <v>285</v>
      </c>
      <c r="C121" s="248">
        <f t="shared" si="1"/>
        <v>1402800</v>
      </c>
      <c r="D121" s="248">
        <v>1402800</v>
      </c>
      <c r="E121" s="248"/>
      <c r="F121" s="248"/>
    </row>
    <row r="122" spans="1:6" ht="18.75">
      <c r="A122" s="259" t="s">
        <v>765</v>
      </c>
      <c r="B122" s="260" t="s">
        <v>286</v>
      </c>
      <c r="C122" s="261">
        <f>D122+E122</f>
        <v>533209293</v>
      </c>
      <c r="D122" s="261">
        <f>D102+D103</f>
        <v>520205270</v>
      </c>
      <c r="E122" s="261">
        <f>E102+E103</f>
        <v>13004023</v>
      </c>
      <c r="F122" s="261">
        <f>F102+F103</f>
        <v>3389012</v>
      </c>
    </row>
    <row r="127" spans="2:6" ht="15.75">
      <c r="B127" s="19"/>
      <c r="C127" s="19"/>
      <c r="D127" s="19"/>
      <c r="E127" s="19"/>
      <c r="F127" s="19"/>
    </row>
    <row r="128" spans="1:5" ht="18.75">
      <c r="A128" s="30" t="s">
        <v>699</v>
      </c>
      <c r="B128" s="30"/>
      <c r="C128" s="30"/>
      <c r="D128" s="31"/>
      <c r="E128" s="30" t="s">
        <v>766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764</v>
      </c>
    </row>
    <row r="2" spans="5:7" ht="15">
      <c r="E2" s="52" t="s">
        <v>362</v>
      </c>
      <c r="G2" s="2"/>
    </row>
    <row r="3" ht="15">
      <c r="E3" s="4" t="s">
        <v>287</v>
      </c>
    </row>
    <row r="4" ht="15">
      <c r="E4" s="4" t="s">
        <v>363</v>
      </c>
    </row>
    <row r="5" ht="14.25">
      <c r="F5" s="51"/>
    </row>
    <row r="7" spans="1:6" ht="18.75">
      <c r="A7" s="321" t="s">
        <v>715</v>
      </c>
      <c r="B7" s="321"/>
      <c r="C7" s="321"/>
      <c r="D7" s="321"/>
      <c r="E7" s="321"/>
      <c r="F7" s="321"/>
    </row>
    <row r="8" spans="1:6" ht="15.75">
      <c r="A8" s="16"/>
      <c r="B8" s="16"/>
      <c r="C8" s="16"/>
      <c r="D8" s="16"/>
      <c r="E8" s="16"/>
      <c r="F8" s="16"/>
    </row>
    <row r="9" spans="1:6" ht="15.75">
      <c r="A9" s="104" t="s">
        <v>364</v>
      </c>
      <c r="B9" s="16"/>
      <c r="C9" s="16"/>
      <c r="D9" s="16"/>
      <c r="E9" s="16"/>
      <c r="F9" s="16"/>
    </row>
    <row r="10" ht="12.75">
      <c r="A10" s="1" t="s">
        <v>389</v>
      </c>
    </row>
    <row r="11" spans="1:6" ht="12.75">
      <c r="A11" s="5"/>
      <c r="F11" s="6" t="s">
        <v>369</v>
      </c>
    </row>
    <row r="12" ht="13.5" thickBot="1"/>
    <row r="13" spans="1:6" ht="26.25" customHeight="1" thickBot="1">
      <c r="A13" s="322" t="s">
        <v>370</v>
      </c>
      <c r="B13" s="322" t="s">
        <v>390</v>
      </c>
      <c r="C13" s="322" t="s">
        <v>371</v>
      </c>
      <c r="D13" s="322" t="s">
        <v>372</v>
      </c>
      <c r="E13" s="327" t="s">
        <v>373</v>
      </c>
      <c r="F13" s="328"/>
    </row>
    <row r="14" spans="1:6" ht="39" customHeight="1" thickBot="1">
      <c r="A14" s="323"/>
      <c r="B14" s="323"/>
      <c r="C14" s="323"/>
      <c r="D14" s="323"/>
      <c r="E14" s="3" t="s">
        <v>374</v>
      </c>
      <c r="F14" s="3" t="s">
        <v>375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329" t="s">
        <v>376</v>
      </c>
      <c r="B16" s="330"/>
      <c r="C16" s="331"/>
      <c r="D16" s="331"/>
      <c r="E16" s="331"/>
      <c r="F16" s="332"/>
    </row>
    <row r="17" spans="1:6" ht="15.75">
      <c r="A17" s="18">
        <v>200000</v>
      </c>
      <c r="B17" s="19" t="s">
        <v>682</v>
      </c>
      <c r="C17" s="22">
        <f>D17+E17</f>
        <v>24699698</v>
      </c>
      <c r="D17" s="37">
        <f>D18</f>
        <v>-25106214</v>
      </c>
      <c r="E17" s="37">
        <f>E18</f>
        <v>49805912</v>
      </c>
      <c r="F17" s="37">
        <f>F18</f>
        <v>49091954</v>
      </c>
    </row>
    <row r="18" spans="1:6" ht="31.5">
      <c r="A18" s="20">
        <v>208000</v>
      </c>
      <c r="B18" s="21" t="s">
        <v>683</v>
      </c>
      <c r="C18" s="22">
        <f>D18+E18</f>
        <v>24699698</v>
      </c>
      <c r="D18" s="38">
        <f>D20+D19</f>
        <v>-25106214</v>
      </c>
      <c r="E18" s="38">
        <f>E20+E19</f>
        <v>49805912</v>
      </c>
      <c r="F18" s="38">
        <f>F20+F19</f>
        <v>49091954</v>
      </c>
    </row>
    <row r="19" spans="1:6" ht="15.75">
      <c r="A19" s="20">
        <v>208100</v>
      </c>
      <c r="B19" s="21" t="s">
        <v>761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5.25" customHeight="1">
      <c r="A20" s="20">
        <v>208400</v>
      </c>
      <c r="B20" s="21" t="s">
        <v>684</v>
      </c>
      <c r="C20" s="22"/>
      <c r="D20" s="38">
        <f>-35917919-9547267-945200-640437-15300+5204771-40000-18846+797713+748994-791125+454856-1301552-1326364+500000-708269+174825-1000000</f>
        <v>-44371120</v>
      </c>
      <c r="E20" s="38">
        <f>F20</f>
        <v>44371120</v>
      </c>
      <c r="F20" s="38">
        <f>35917919+9547267+945200+640437+15300-5204771+40000+18846-797713-748994+791125-454856+1301552+1326364-500000+708269-174825+1000000</f>
        <v>44371120</v>
      </c>
    </row>
    <row r="21" spans="1:6" ht="16.5" customHeight="1">
      <c r="A21" s="23" t="s">
        <v>388</v>
      </c>
      <c r="B21" s="24" t="s">
        <v>377</v>
      </c>
      <c r="C21" s="25">
        <f>D21+E21</f>
        <v>24699698</v>
      </c>
      <c r="D21" s="39">
        <f>D17</f>
        <v>-25106214</v>
      </c>
      <c r="E21" s="39">
        <f>E17</f>
        <v>49805912</v>
      </c>
      <c r="F21" s="39">
        <f>F17</f>
        <v>49091954</v>
      </c>
    </row>
    <row r="22" spans="1:6" ht="13.5">
      <c r="A22" s="324" t="s">
        <v>685</v>
      </c>
      <c r="B22" s="325"/>
      <c r="C22" s="325"/>
      <c r="D22" s="325"/>
      <c r="E22" s="325"/>
      <c r="F22" s="326"/>
    </row>
    <row r="23" spans="1:6" ht="15.75">
      <c r="A23" s="20">
        <v>600000</v>
      </c>
      <c r="B23" s="21" t="s">
        <v>378</v>
      </c>
      <c r="C23" s="22">
        <f>D23+E23</f>
        <v>24699698</v>
      </c>
      <c r="D23" s="37">
        <f>D24</f>
        <v>-25106214</v>
      </c>
      <c r="E23" s="37">
        <f>E24</f>
        <v>49805912</v>
      </c>
      <c r="F23" s="37">
        <f>F24</f>
        <v>49091954</v>
      </c>
    </row>
    <row r="24" spans="1:6" ht="15.75">
      <c r="A24" s="20">
        <v>602000</v>
      </c>
      <c r="B24" s="21" t="s">
        <v>686</v>
      </c>
      <c r="C24" s="22">
        <f>D24+E24</f>
        <v>24699698</v>
      </c>
      <c r="D24" s="38">
        <f>D26+D25</f>
        <v>-25106214</v>
      </c>
      <c r="E24" s="38">
        <f>E26+E25</f>
        <v>49805912</v>
      </c>
      <c r="F24" s="38">
        <f>F26+F25</f>
        <v>49091954</v>
      </c>
    </row>
    <row r="25" spans="1:6" ht="15.75">
      <c r="A25" s="20">
        <v>602100</v>
      </c>
      <c r="B25" s="21" t="s">
        <v>761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684</v>
      </c>
      <c r="C26" s="22"/>
      <c r="D26" s="38">
        <f>-35917919-9547267-945200-640437-15300+5204771-40000-18846+797713+748994-791125+454856-1301552-1326364+500000-708269+174825-1000000</f>
        <v>-44371120</v>
      </c>
      <c r="E26" s="38">
        <f>F26</f>
        <v>44371120</v>
      </c>
      <c r="F26" s="38">
        <f>35917919+9547267+945200+640437+15300-5204771+40000+18846-797713-748994+791125-454856+1301552+1326364-500000+708269-174825+1000000</f>
        <v>44371120</v>
      </c>
    </row>
    <row r="27" spans="1:6" ht="15.75">
      <c r="A27" s="23" t="s">
        <v>388</v>
      </c>
      <c r="B27" s="24" t="s">
        <v>377</v>
      </c>
      <c r="C27" s="25">
        <f>D27+E27</f>
        <v>24699698</v>
      </c>
      <c r="D27" s="39">
        <f>D23</f>
        <v>-25106214</v>
      </c>
      <c r="E27" s="39">
        <f>E23</f>
        <v>49805912</v>
      </c>
      <c r="F27" s="39">
        <f>F23</f>
        <v>49091954</v>
      </c>
    </row>
    <row r="31" spans="1:5" ht="18.75">
      <c r="A31" s="30" t="s">
        <v>699</v>
      </c>
      <c r="B31" s="30"/>
      <c r="C31" s="30"/>
      <c r="D31" s="31"/>
      <c r="E31" s="30" t="s">
        <v>766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22"/>
  <sheetViews>
    <sheetView showZeros="0" showOutlineSymbols="0" zoomScale="70" zoomScaleNormal="70" zoomScalePageLayoutView="0" workbookViewId="0" topLeftCell="H2">
      <selection activeCell="O7" sqref="O7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6384" width="9.125" style="8" customWidth="1"/>
  </cols>
  <sheetData>
    <row r="1" ht="23.25" hidden="1"/>
    <row r="2" spans="1:16" ht="27.75">
      <c r="A2" s="315"/>
      <c r="B2" s="7"/>
      <c r="I2" s="11"/>
      <c r="K2" s="29"/>
      <c r="L2" s="29"/>
      <c r="M2" s="29"/>
      <c r="O2" s="44" t="s">
        <v>379</v>
      </c>
      <c r="P2" s="44"/>
    </row>
    <row r="3" spans="1:16" ht="27" customHeight="1">
      <c r="A3" s="315"/>
      <c r="B3" s="7"/>
      <c r="I3" s="11"/>
      <c r="K3" s="29"/>
      <c r="L3" s="29"/>
      <c r="M3" s="29"/>
      <c r="O3" s="44" t="s">
        <v>362</v>
      </c>
      <c r="P3" s="44"/>
    </row>
    <row r="4" spans="1:16" ht="27" customHeight="1">
      <c r="A4" s="315"/>
      <c r="B4" s="7"/>
      <c r="I4" s="11"/>
      <c r="K4" s="29"/>
      <c r="L4" s="29"/>
      <c r="M4" s="29"/>
      <c r="O4" s="45" t="s">
        <v>287</v>
      </c>
      <c r="P4" s="45"/>
    </row>
    <row r="5" spans="10:16" ht="27" customHeight="1">
      <c r="J5" s="8"/>
      <c r="K5" s="29"/>
      <c r="L5" s="29"/>
      <c r="M5" s="29"/>
      <c r="N5" s="8"/>
      <c r="O5" s="45" t="s">
        <v>363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306" t="s">
        <v>716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</row>
    <row r="9" spans="1:16" ht="20.25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389</v>
      </c>
    </row>
    <row r="11" spans="11:16" ht="23.25">
      <c r="K11" s="283"/>
      <c r="P11" s="13" t="s">
        <v>369</v>
      </c>
    </row>
    <row r="12" spans="1:16" ht="71.25" customHeight="1">
      <c r="A12" s="301" t="s">
        <v>391</v>
      </c>
      <c r="B12" s="304" t="s">
        <v>392</v>
      </c>
      <c r="C12" s="304" t="s">
        <v>380</v>
      </c>
      <c r="D12" s="304" t="s">
        <v>393</v>
      </c>
      <c r="E12" s="309" t="s">
        <v>372</v>
      </c>
      <c r="F12" s="310"/>
      <c r="G12" s="310"/>
      <c r="H12" s="310"/>
      <c r="I12" s="311"/>
      <c r="J12" s="309" t="s">
        <v>373</v>
      </c>
      <c r="K12" s="310"/>
      <c r="L12" s="310"/>
      <c r="M12" s="310"/>
      <c r="N12" s="310"/>
      <c r="O12" s="311"/>
      <c r="P12" s="303" t="s">
        <v>381</v>
      </c>
    </row>
    <row r="13" spans="1:16" ht="13.5" thickBot="1">
      <c r="A13" s="302"/>
      <c r="B13" s="305"/>
      <c r="C13" s="305"/>
      <c r="D13" s="305"/>
      <c r="E13" s="312"/>
      <c r="F13" s="313"/>
      <c r="G13" s="313"/>
      <c r="H13" s="313"/>
      <c r="I13" s="314"/>
      <c r="J13" s="312"/>
      <c r="K13" s="313"/>
      <c r="L13" s="313"/>
      <c r="M13" s="313"/>
      <c r="N13" s="313"/>
      <c r="O13" s="314"/>
      <c r="P13" s="296"/>
    </row>
    <row r="14" spans="1:16" ht="36" customHeight="1" thickBot="1">
      <c r="A14" s="302"/>
      <c r="B14" s="305"/>
      <c r="C14" s="305"/>
      <c r="D14" s="305"/>
      <c r="E14" s="307" t="s">
        <v>374</v>
      </c>
      <c r="F14" s="307" t="s">
        <v>382</v>
      </c>
      <c r="G14" s="297" t="s">
        <v>383</v>
      </c>
      <c r="H14" s="298"/>
      <c r="I14" s="307" t="s">
        <v>384</v>
      </c>
      <c r="J14" s="307" t="s">
        <v>374</v>
      </c>
      <c r="K14" s="307" t="s">
        <v>375</v>
      </c>
      <c r="L14" s="307" t="s">
        <v>382</v>
      </c>
      <c r="M14" s="297" t="s">
        <v>383</v>
      </c>
      <c r="N14" s="298"/>
      <c r="O14" s="307" t="s">
        <v>384</v>
      </c>
      <c r="P14" s="296"/>
    </row>
    <row r="15" spans="1:16" ht="65.25" customHeight="1" thickBot="1">
      <c r="A15" s="302"/>
      <c r="B15" s="305"/>
      <c r="C15" s="305"/>
      <c r="D15" s="305"/>
      <c r="E15" s="308"/>
      <c r="F15" s="308"/>
      <c r="G15" s="53" t="s">
        <v>385</v>
      </c>
      <c r="H15" s="53" t="s">
        <v>386</v>
      </c>
      <c r="I15" s="308"/>
      <c r="J15" s="308"/>
      <c r="K15" s="308"/>
      <c r="L15" s="308"/>
      <c r="M15" s="53" t="s">
        <v>385</v>
      </c>
      <c r="N15" s="53" t="s">
        <v>386</v>
      </c>
      <c r="O15" s="308"/>
      <c r="P15" s="296"/>
    </row>
    <row r="16" spans="1:16" s="19" customFormat="1" ht="19.5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69.75">
      <c r="A17" s="75" t="s">
        <v>394</v>
      </c>
      <c r="B17" s="75"/>
      <c r="C17" s="75"/>
      <c r="D17" s="54" t="s">
        <v>395</v>
      </c>
      <c r="E17" s="89">
        <f>E18</f>
        <v>126800607</v>
      </c>
      <c r="F17" s="89">
        <f aca="true" t="shared" si="0" ref="F17:O17">F18</f>
        <v>126800607</v>
      </c>
      <c r="G17" s="89">
        <f t="shared" si="0"/>
        <v>20659851</v>
      </c>
      <c r="H17" s="89">
        <f t="shared" si="0"/>
        <v>1035754</v>
      </c>
      <c r="I17" s="89">
        <f t="shared" si="0"/>
        <v>0</v>
      </c>
      <c r="J17" s="89">
        <f t="shared" si="0"/>
        <v>30145681</v>
      </c>
      <c r="K17" s="89">
        <f t="shared" si="0"/>
        <v>29155723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29435723</v>
      </c>
      <c r="P17" s="89">
        <f>E17+J17</f>
        <v>156946288</v>
      </c>
    </row>
    <row r="18" spans="1:16" s="15" customFormat="1" ht="76.5" customHeight="1">
      <c r="A18" s="76" t="s">
        <v>396</v>
      </c>
      <c r="B18" s="76"/>
      <c r="C18" s="76"/>
      <c r="D18" s="55" t="s">
        <v>395</v>
      </c>
      <c r="E18" s="90">
        <f>E19+E23+E25+E32+E33+E34+E40+E41+E42+E43+E44+E45+E47+E48+E49+E50+E51+E52+E53+E54+E55+E56+E58+E60+E61+E62+E63+E64+E65+E66+E67+E59</f>
        <v>126800607</v>
      </c>
      <c r="F18" s="90">
        <f>F19+F23+F25+F32+F33+F34+F40+F41+F42+F43+F44+F45+F47+F48+F49+F50+F51+F52+F53+F54+F55+F56+F58+F60+F61+F62+F63+F64+F65+F66+F67+F59</f>
        <v>126800607</v>
      </c>
      <c r="G18" s="90">
        <f>G19+G23+G25+G32+G33+G34+G40+G41+G42+G43+G44+G45+G47+G48+G49+G50+G51+G52+G53+G54+G55+G56+G58+G60+G61+G62+G63+G64+G65+G66+G67+G59</f>
        <v>20659851</v>
      </c>
      <c r="H18" s="90">
        <f>H19+H23+H25+H32+H33+H34+H40+H41+H42+H43+H44+H45+H47+H48+H49+H50+H51+H52+H53+H54+H55+H56+H58+H60+H61+H62+H63+H64+H65+H66+H67+H59</f>
        <v>1035754</v>
      </c>
      <c r="I18" s="90">
        <f>I19+I23+I25+I32+I33+I34+I40+I41+I42+I43+I44+I45+I47+I48+I49+I50+I51+I52+I53+I54+I55+I56+I58+I60+I61+I62+I63+I64+I65+I66+I67+I59</f>
        <v>0</v>
      </c>
      <c r="J18" s="90">
        <f aca="true" t="shared" si="1" ref="J18:O18">J19+J23+J25+J32+J33+J34+J40+J41+J42+J43+J44+J45+J47+J48+J49+J50+J51+J52+J53+J54+J55+J56+J58+J60+J61+J62+J63+J64+J65+J66+J67+J59+J57</f>
        <v>30145681</v>
      </c>
      <c r="K18" s="90">
        <f t="shared" si="1"/>
        <v>29155723</v>
      </c>
      <c r="L18" s="90">
        <f t="shared" si="1"/>
        <v>709958</v>
      </c>
      <c r="M18" s="90">
        <f t="shared" si="1"/>
        <v>18300</v>
      </c>
      <c r="N18" s="90">
        <f t="shared" si="1"/>
        <v>12590</v>
      </c>
      <c r="O18" s="90">
        <f t="shared" si="1"/>
        <v>29435723</v>
      </c>
      <c r="P18" s="90">
        <f aca="true" t="shared" si="2" ref="P18:P108">E18+J18</f>
        <v>156946288</v>
      </c>
    </row>
    <row r="19" spans="1:16" ht="230.25" customHeight="1">
      <c r="A19" s="77" t="s">
        <v>397</v>
      </c>
      <c r="B19" s="77" t="s">
        <v>398</v>
      </c>
      <c r="C19" s="77" t="s">
        <v>399</v>
      </c>
      <c r="D19" s="56" t="s">
        <v>400</v>
      </c>
      <c r="E19" s="91">
        <f>F19</f>
        <v>22989656</v>
      </c>
      <c r="F19" s="91">
        <f>F21+F22</f>
        <v>22989656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198410</v>
      </c>
      <c r="K19" s="92">
        <f>K21+K22</f>
        <v>190410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190410</v>
      </c>
      <c r="P19" s="92">
        <f t="shared" si="2"/>
        <v>23188066</v>
      </c>
    </row>
    <row r="20" spans="1:16" ht="24" hidden="1">
      <c r="A20" s="77"/>
      <c r="B20" s="77"/>
      <c r="C20" s="77"/>
      <c r="D20" s="56" t="s">
        <v>401</v>
      </c>
      <c r="E20" s="92"/>
      <c r="F20" s="92"/>
      <c r="G20" s="92"/>
      <c r="H20" s="92"/>
      <c r="I20" s="92"/>
      <c r="J20" s="91">
        <f aca="true" t="shared" si="4" ref="J20:J111">L20+O20</f>
        <v>0</v>
      </c>
      <c r="K20" s="92"/>
      <c r="L20" s="92"/>
      <c r="M20" s="92"/>
      <c r="N20" s="92"/>
      <c r="O20" s="91">
        <f aca="true" t="shared" si="5" ref="O20:O111">K20</f>
        <v>0</v>
      </c>
      <c r="P20" s="92">
        <f t="shared" si="2"/>
        <v>0</v>
      </c>
    </row>
    <row r="21" spans="1:16" ht="72" hidden="1">
      <c r="A21" s="77"/>
      <c r="B21" s="77"/>
      <c r="C21" s="77"/>
      <c r="D21" s="57" t="s">
        <v>402</v>
      </c>
      <c r="E21" s="92">
        <f>F21</f>
        <v>21085439</v>
      </c>
      <c r="F21" s="92">
        <f>19539476+834905+198326+43515+157990+71594+62000+99942+27791+49900</f>
        <v>21085439</v>
      </c>
      <c r="G21" s="92">
        <f>17654353+834905</f>
        <v>18489258</v>
      </c>
      <c r="H21" s="92">
        <v>710923</v>
      </c>
      <c r="I21" s="92"/>
      <c r="J21" s="91">
        <f t="shared" si="4"/>
        <v>190410</v>
      </c>
      <c r="K21" s="92">
        <f>180650+9760</f>
        <v>190410</v>
      </c>
      <c r="L21" s="92"/>
      <c r="M21" s="92"/>
      <c r="N21" s="92"/>
      <c r="O21" s="91">
        <f t="shared" si="5"/>
        <v>190410</v>
      </c>
      <c r="P21" s="92">
        <f t="shared" si="2"/>
        <v>21275849</v>
      </c>
    </row>
    <row r="22" spans="1:16" ht="72" hidden="1">
      <c r="A22" s="77"/>
      <c r="B22" s="77"/>
      <c r="C22" s="77"/>
      <c r="D22" s="57" t="s">
        <v>403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">
      <c r="A23" s="77" t="s">
        <v>404</v>
      </c>
      <c r="B23" s="77" t="s">
        <v>405</v>
      </c>
      <c r="C23" s="77" t="s">
        <v>406</v>
      </c>
      <c r="D23" s="57" t="s">
        <v>407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6" hidden="1">
      <c r="A24" s="60"/>
      <c r="B24" s="60"/>
      <c r="C24" s="60"/>
      <c r="D24" s="57" t="s">
        <v>408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72">
      <c r="A25" s="77" t="s">
        <v>409</v>
      </c>
      <c r="B25" s="77" t="s">
        <v>410</v>
      </c>
      <c r="C25" s="77" t="s">
        <v>411</v>
      </c>
      <c r="D25" s="57" t="s">
        <v>412</v>
      </c>
      <c r="E25" s="92">
        <f>E31+E27</f>
        <v>29618060</v>
      </c>
      <c r="F25" s="92">
        <f>F31+F27</f>
        <v>29618060</v>
      </c>
      <c r="G25" s="92">
        <f>G31+G27</f>
        <v>0</v>
      </c>
      <c r="H25" s="92">
        <f>H31+H27</f>
        <v>0</v>
      </c>
      <c r="I25" s="92">
        <f>I31+I27</f>
        <v>0</v>
      </c>
      <c r="J25" s="91">
        <f aca="true" t="shared" si="7" ref="J25:O25">J27+J28+J29+J30+J31</f>
        <v>6495900</v>
      </c>
      <c r="K25" s="91">
        <f t="shared" si="7"/>
        <v>6495900</v>
      </c>
      <c r="L25" s="91">
        <f t="shared" si="7"/>
        <v>0</v>
      </c>
      <c r="M25" s="91">
        <f t="shared" si="7"/>
        <v>0</v>
      </c>
      <c r="N25" s="91">
        <f t="shared" si="7"/>
        <v>0</v>
      </c>
      <c r="O25" s="91">
        <f t="shared" si="7"/>
        <v>6495900</v>
      </c>
      <c r="P25" s="92">
        <f t="shared" si="2"/>
        <v>36113960</v>
      </c>
    </row>
    <row r="26" spans="1:16" ht="24" hidden="1">
      <c r="A26" s="77"/>
      <c r="B26" s="77"/>
      <c r="C26" s="77"/>
      <c r="D26" s="57" t="s">
        <v>401</v>
      </c>
      <c r="E26" s="92"/>
      <c r="F26" s="92"/>
      <c r="G26" s="92"/>
      <c r="H26" s="92"/>
      <c r="I26" s="92"/>
      <c r="J26" s="91">
        <f t="shared" si="4"/>
        <v>0</v>
      </c>
      <c r="K26" s="92"/>
      <c r="L26" s="92"/>
      <c r="M26" s="92"/>
      <c r="N26" s="92"/>
      <c r="O26" s="91">
        <f t="shared" si="5"/>
        <v>0</v>
      </c>
      <c r="P26" s="92">
        <f t="shared" si="2"/>
        <v>0</v>
      </c>
    </row>
    <row r="27" spans="1:16" ht="48" hidden="1">
      <c r="A27" s="77"/>
      <c r="B27" s="77"/>
      <c r="C27" s="77"/>
      <c r="D27" s="57" t="s">
        <v>413</v>
      </c>
      <c r="E27" s="92">
        <f>F27+I27</f>
        <v>13792455</v>
      </c>
      <c r="F27" s="92">
        <f>13792400+55</f>
        <v>13792455</v>
      </c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13792455</v>
      </c>
    </row>
    <row r="28" spans="1:16" ht="216" hidden="1">
      <c r="A28" s="77"/>
      <c r="B28" s="77"/>
      <c r="C28" s="77"/>
      <c r="D28" s="57" t="s">
        <v>414</v>
      </c>
      <c r="E28" s="92"/>
      <c r="F28" s="92"/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0</v>
      </c>
    </row>
    <row r="29" spans="1:16" ht="144" hidden="1">
      <c r="A29" s="77"/>
      <c r="B29" s="77"/>
      <c r="C29" s="77"/>
      <c r="D29" s="58" t="s">
        <v>415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216" hidden="1">
      <c r="A30" s="77"/>
      <c r="B30" s="77"/>
      <c r="C30" s="77"/>
      <c r="D30" s="59" t="s">
        <v>414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4" hidden="1">
      <c r="A31" s="77"/>
      <c r="B31" s="77"/>
      <c r="C31" s="77"/>
      <c r="D31" s="57" t="s">
        <v>416</v>
      </c>
      <c r="E31" s="92">
        <f>F31</f>
        <v>15825605</v>
      </c>
      <c r="F31" s="92">
        <f>10009603-20539+1098750+183938+400000+654823+135494+750000+137200+169202+71920+750000+20110+650000+184887+200000+195908+58000+72630+32030+68020-100000-6999+85028+25600</f>
        <v>15825605</v>
      </c>
      <c r="G31" s="92"/>
      <c r="H31" s="92"/>
      <c r="I31" s="92"/>
      <c r="J31" s="91">
        <f t="shared" si="4"/>
        <v>6495900</v>
      </c>
      <c r="K31" s="92">
        <f>4727000+767500+99900+945200-945200+211500+315000+375000</f>
        <v>6495900</v>
      </c>
      <c r="L31" s="92"/>
      <c r="M31" s="92"/>
      <c r="N31" s="92"/>
      <c r="O31" s="91">
        <f t="shared" si="5"/>
        <v>6495900</v>
      </c>
      <c r="P31" s="92">
        <f t="shared" si="2"/>
        <v>22321505</v>
      </c>
    </row>
    <row r="32" spans="1:16" ht="144">
      <c r="A32" s="77" t="s">
        <v>421</v>
      </c>
      <c r="B32" s="77" t="s">
        <v>422</v>
      </c>
      <c r="C32" s="77" t="s">
        <v>423</v>
      </c>
      <c r="D32" s="57" t="s">
        <v>424</v>
      </c>
      <c r="E32" s="92">
        <f>F32</f>
        <v>1001344</v>
      </c>
      <c r="F32" s="92">
        <f>680360+49908+13500+77015+58061+100000+22500</f>
        <v>1001344</v>
      </c>
      <c r="G32" s="92"/>
      <c r="H32" s="92"/>
      <c r="I32" s="92"/>
      <c r="J32" s="91">
        <f t="shared" si="4"/>
        <v>68000</v>
      </c>
      <c r="K32" s="92">
        <f>48000+20000</f>
        <v>68000</v>
      </c>
      <c r="L32" s="92"/>
      <c r="M32" s="92"/>
      <c r="N32" s="92"/>
      <c r="O32" s="91">
        <f t="shared" si="5"/>
        <v>68000</v>
      </c>
      <c r="P32" s="92">
        <f t="shared" si="2"/>
        <v>1069344</v>
      </c>
    </row>
    <row r="33" spans="1:16" ht="96">
      <c r="A33" s="77" t="s">
        <v>689</v>
      </c>
      <c r="B33" s="77" t="s">
        <v>690</v>
      </c>
      <c r="C33" s="77" t="s">
        <v>419</v>
      </c>
      <c r="D33" s="57" t="s">
        <v>691</v>
      </c>
      <c r="E33" s="92">
        <f>F33</f>
        <v>2052718</v>
      </c>
      <c r="F33" s="92">
        <f>432000+217918+1402800</f>
        <v>2052718</v>
      </c>
      <c r="G33" s="92"/>
      <c r="H33" s="92"/>
      <c r="I33" s="92"/>
      <c r="J33" s="91"/>
      <c r="K33" s="92"/>
      <c r="L33" s="92"/>
      <c r="M33" s="92"/>
      <c r="N33" s="92"/>
      <c r="O33" s="91"/>
      <c r="P33" s="92">
        <f t="shared" si="2"/>
        <v>2052718</v>
      </c>
    </row>
    <row r="34" spans="1:16" ht="48">
      <c r="A34" s="77" t="s">
        <v>417</v>
      </c>
      <c r="B34" s="77" t="s">
        <v>418</v>
      </c>
      <c r="C34" s="77" t="s">
        <v>419</v>
      </c>
      <c r="D34" s="57" t="s">
        <v>420</v>
      </c>
      <c r="E34" s="92">
        <f aca="true" t="shared" si="8" ref="E34:O34">SUM(E35:E39)</f>
        <v>7045765</v>
      </c>
      <c r="F34" s="92">
        <f t="shared" si="8"/>
        <v>7045765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2"/>
        <v>7045765</v>
      </c>
    </row>
    <row r="35" spans="1:16" ht="24" hidden="1">
      <c r="A35" s="60"/>
      <c r="B35" s="60"/>
      <c r="C35" s="60"/>
      <c r="D35" s="60" t="s">
        <v>425</v>
      </c>
      <c r="E35" s="92">
        <f aca="true" t="shared" si="9" ref="E35:E42">F35</f>
        <v>1504814</v>
      </c>
      <c r="F35" s="92">
        <f>1000000+199000+221814+84000</f>
        <v>1504814</v>
      </c>
      <c r="G35" s="92"/>
      <c r="H35" s="92"/>
      <c r="I35" s="92"/>
      <c r="J35" s="91">
        <f t="shared" si="4"/>
        <v>0</v>
      </c>
      <c r="K35" s="92"/>
      <c r="L35" s="92"/>
      <c r="M35" s="92"/>
      <c r="N35" s="92"/>
      <c r="O35" s="91">
        <f t="shared" si="5"/>
        <v>0</v>
      </c>
      <c r="P35" s="92">
        <f t="shared" si="2"/>
        <v>1504814</v>
      </c>
    </row>
    <row r="36" spans="1:16" ht="24" hidden="1">
      <c r="A36" s="60"/>
      <c r="B36" s="60"/>
      <c r="C36" s="60"/>
      <c r="D36" s="60" t="s">
        <v>426</v>
      </c>
      <c r="E36" s="92">
        <f t="shared" si="9"/>
        <v>5138451</v>
      </c>
      <c r="F36" s="92">
        <f>5010600-476620+100000+106039+600000+130000+100000-431568</f>
        <v>5138451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5138451</v>
      </c>
    </row>
    <row r="37" spans="1:16" ht="24" hidden="1">
      <c r="A37" s="60"/>
      <c r="B37" s="60"/>
      <c r="C37" s="60"/>
      <c r="D37" s="60" t="s">
        <v>741</v>
      </c>
      <c r="E37" s="92">
        <f t="shared" si="9"/>
        <v>80000</v>
      </c>
      <c r="F37" s="92">
        <f>80000</f>
        <v>80000</v>
      </c>
      <c r="G37" s="92"/>
      <c r="H37" s="92"/>
      <c r="I37" s="92"/>
      <c r="J37" s="91"/>
      <c r="K37" s="92"/>
      <c r="L37" s="92"/>
      <c r="M37" s="92"/>
      <c r="N37" s="92"/>
      <c r="O37" s="91"/>
      <c r="P37" s="92"/>
    </row>
    <row r="38" spans="1:16" ht="48" hidden="1">
      <c r="A38" s="60"/>
      <c r="B38" s="60"/>
      <c r="C38" s="60"/>
      <c r="D38" s="60" t="s">
        <v>742</v>
      </c>
      <c r="E38" s="92">
        <f t="shared" si="9"/>
        <v>100000</v>
      </c>
      <c r="F38" s="92">
        <v>100000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24" hidden="1">
      <c r="A39" s="60"/>
      <c r="B39" s="60"/>
      <c r="C39" s="60"/>
      <c r="D39" s="60" t="s">
        <v>760</v>
      </c>
      <c r="E39" s="92">
        <f>F39</f>
        <v>222500</v>
      </c>
      <c r="F39" s="92">
        <f>122500+100000</f>
        <v>222500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72">
      <c r="A40" s="77" t="s">
        <v>427</v>
      </c>
      <c r="B40" s="77" t="s">
        <v>428</v>
      </c>
      <c r="C40" s="78" t="s">
        <v>429</v>
      </c>
      <c r="D40" s="56" t="s">
        <v>430</v>
      </c>
      <c r="E40" s="92">
        <f t="shared" si="9"/>
        <v>5000</v>
      </c>
      <c r="F40" s="92">
        <v>5000</v>
      </c>
      <c r="G40" s="92"/>
      <c r="H40" s="92"/>
      <c r="I40" s="92"/>
      <c r="J40" s="91">
        <f t="shared" si="4"/>
        <v>0</v>
      </c>
      <c r="K40" s="92"/>
      <c r="L40" s="92"/>
      <c r="M40" s="92"/>
      <c r="N40" s="92"/>
      <c r="O40" s="91">
        <f t="shared" si="5"/>
        <v>0</v>
      </c>
      <c r="P40" s="92">
        <f t="shared" si="2"/>
        <v>5000</v>
      </c>
    </row>
    <row r="41" spans="1:16" ht="72">
      <c r="A41" s="77" t="s">
        <v>431</v>
      </c>
      <c r="B41" s="77" t="s">
        <v>432</v>
      </c>
      <c r="C41" s="77" t="s">
        <v>433</v>
      </c>
      <c r="D41" s="57" t="s">
        <v>434</v>
      </c>
      <c r="E41" s="92">
        <f t="shared" si="9"/>
        <v>126000</v>
      </c>
      <c r="F41" s="92">
        <f>94000+32000</f>
        <v>126000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126000</v>
      </c>
    </row>
    <row r="42" spans="1:16" ht="48">
      <c r="A42" s="77" t="s">
        <v>743</v>
      </c>
      <c r="B42" s="77" t="s">
        <v>732</v>
      </c>
      <c r="C42" s="77" t="s">
        <v>733</v>
      </c>
      <c r="D42" s="57" t="s">
        <v>734</v>
      </c>
      <c r="E42" s="92">
        <f t="shared" si="9"/>
        <v>112368</v>
      </c>
      <c r="F42" s="92">
        <f>89320+23048</f>
        <v>112368</v>
      </c>
      <c r="G42" s="92">
        <v>8640</v>
      </c>
      <c r="H42" s="92"/>
      <c r="I42" s="92"/>
      <c r="J42" s="91"/>
      <c r="K42" s="92"/>
      <c r="L42" s="92"/>
      <c r="M42" s="92"/>
      <c r="N42" s="92"/>
      <c r="O42" s="91"/>
      <c r="P42" s="92">
        <f t="shared" si="2"/>
        <v>112368</v>
      </c>
    </row>
    <row r="43" spans="1:16" ht="72">
      <c r="A43" s="77" t="s">
        <v>435</v>
      </c>
      <c r="B43" s="77" t="s">
        <v>436</v>
      </c>
      <c r="C43" s="77" t="s">
        <v>437</v>
      </c>
      <c r="D43" s="61" t="s">
        <v>438</v>
      </c>
      <c r="E43" s="92">
        <f aca="true" t="shared" si="10" ref="E43:E67">F43</f>
        <v>800000</v>
      </c>
      <c r="F43" s="92">
        <v>800000</v>
      </c>
      <c r="G43" s="92"/>
      <c r="H43" s="92"/>
      <c r="I43" s="92"/>
      <c r="J43" s="91">
        <f t="shared" si="4"/>
        <v>0</v>
      </c>
      <c r="K43" s="92"/>
      <c r="L43" s="92"/>
      <c r="M43" s="92"/>
      <c r="N43" s="92"/>
      <c r="O43" s="91">
        <f t="shared" si="5"/>
        <v>0</v>
      </c>
      <c r="P43" s="92">
        <f t="shared" si="2"/>
        <v>800000</v>
      </c>
    </row>
    <row r="44" spans="1:16" ht="96">
      <c r="A44" s="77" t="s">
        <v>439</v>
      </c>
      <c r="B44" s="77" t="s">
        <v>440</v>
      </c>
      <c r="C44" s="77" t="s">
        <v>441</v>
      </c>
      <c r="D44" s="57" t="s">
        <v>442</v>
      </c>
      <c r="E44" s="92">
        <f t="shared" si="10"/>
        <v>1303522</v>
      </c>
      <c r="F44" s="92">
        <f>253522+50000+500000+500000</f>
        <v>1303522</v>
      </c>
      <c r="G44" s="92"/>
      <c r="H44" s="92"/>
      <c r="I44" s="92"/>
      <c r="J44" s="91">
        <f t="shared" si="4"/>
        <v>0</v>
      </c>
      <c r="K44" s="101"/>
      <c r="L44" s="92"/>
      <c r="M44" s="92"/>
      <c r="N44" s="92"/>
      <c r="O44" s="91">
        <f t="shared" si="5"/>
        <v>0</v>
      </c>
      <c r="P44" s="92">
        <f t="shared" si="2"/>
        <v>1303522</v>
      </c>
    </row>
    <row r="45" spans="1:16" ht="48">
      <c r="A45" s="77" t="s">
        <v>443</v>
      </c>
      <c r="B45" s="77" t="s">
        <v>444</v>
      </c>
      <c r="C45" s="77" t="s">
        <v>441</v>
      </c>
      <c r="D45" s="57" t="s">
        <v>445</v>
      </c>
      <c r="E45" s="92">
        <f t="shared" si="10"/>
        <v>1548700</v>
      </c>
      <c r="F45" s="92">
        <f>1184800+500000-136100</f>
        <v>1548700</v>
      </c>
      <c r="G45" s="92"/>
      <c r="H45" s="92"/>
      <c r="I45" s="92"/>
      <c r="J45" s="91">
        <f t="shared" si="4"/>
        <v>0</v>
      </c>
      <c r="K45" s="92"/>
      <c r="L45" s="92"/>
      <c r="M45" s="92"/>
      <c r="N45" s="92"/>
      <c r="O45" s="91">
        <f t="shared" si="5"/>
        <v>0</v>
      </c>
      <c r="P45" s="92">
        <f t="shared" si="2"/>
        <v>1548700</v>
      </c>
    </row>
    <row r="46" spans="1:16" ht="72" hidden="1">
      <c r="A46" s="77" t="s">
        <v>672</v>
      </c>
      <c r="B46" s="77" t="s">
        <v>673</v>
      </c>
      <c r="C46" s="77" t="s">
        <v>441</v>
      </c>
      <c r="D46" s="57" t="s">
        <v>674</v>
      </c>
      <c r="E46" s="92"/>
      <c r="F46" s="92"/>
      <c r="G46" s="92"/>
      <c r="H46" s="92"/>
      <c r="I46" s="92"/>
      <c r="J46" s="91">
        <f>L46+O46</f>
        <v>0</v>
      </c>
      <c r="K46" s="101"/>
      <c r="L46" s="92"/>
      <c r="M46" s="92"/>
      <c r="N46" s="92"/>
      <c r="O46" s="91">
        <f>K46</f>
        <v>0</v>
      </c>
      <c r="P46" s="92">
        <f>E46+J46</f>
        <v>0</v>
      </c>
    </row>
    <row r="47" spans="1:16" ht="96">
      <c r="A47" s="77" t="s">
        <v>446</v>
      </c>
      <c r="B47" s="77" t="s">
        <v>447</v>
      </c>
      <c r="C47" s="77" t="s">
        <v>441</v>
      </c>
      <c r="D47" s="57" t="s">
        <v>448</v>
      </c>
      <c r="E47" s="92">
        <f t="shared" si="10"/>
        <v>4600000</v>
      </c>
      <c r="F47" s="92">
        <f>2000000+1000000+1000000+600000</f>
        <v>4600000</v>
      </c>
      <c r="G47" s="92"/>
      <c r="H47" s="92"/>
      <c r="I47" s="92"/>
      <c r="J47" s="91">
        <f t="shared" si="4"/>
        <v>0</v>
      </c>
      <c r="K47" s="92"/>
      <c r="L47" s="92"/>
      <c r="M47" s="92"/>
      <c r="N47" s="92"/>
      <c r="O47" s="91">
        <f t="shared" si="5"/>
        <v>0</v>
      </c>
      <c r="P47" s="92">
        <f t="shared" si="2"/>
        <v>4600000</v>
      </c>
    </row>
    <row r="48" spans="1:16" ht="168">
      <c r="A48" s="77" t="s">
        <v>449</v>
      </c>
      <c r="B48" s="77" t="s">
        <v>450</v>
      </c>
      <c r="C48" s="77" t="s">
        <v>441</v>
      </c>
      <c r="D48" s="57" t="s">
        <v>451</v>
      </c>
      <c r="E48" s="92">
        <f t="shared" si="10"/>
        <v>1673268</v>
      </c>
      <c r="F48" s="92">
        <f>300000+400000+473268+100000+200000+200000</f>
        <v>1673268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1673268</v>
      </c>
    </row>
    <row r="49" spans="1:16" ht="48">
      <c r="A49" s="77" t="s">
        <v>452</v>
      </c>
      <c r="B49" s="77" t="s">
        <v>453</v>
      </c>
      <c r="C49" s="77" t="s">
        <v>441</v>
      </c>
      <c r="D49" s="57" t="s">
        <v>454</v>
      </c>
      <c r="E49" s="92">
        <f t="shared" si="10"/>
        <v>32317015</v>
      </c>
      <c r="F49" s="92">
        <f>30300000+618189+199131+113068+30728+43793+500000+300000+23268+38838+100000+50000</f>
        <v>32317015</v>
      </c>
      <c r="G49" s="92"/>
      <c r="H49" s="92"/>
      <c r="I49" s="92"/>
      <c r="J49" s="91">
        <f t="shared" si="4"/>
        <v>0</v>
      </c>
      <c r="K49" s="101"/>
      <c r="L49" s="92"/>
      <c r="M49" s="92"/>
      <c r="N49" s="92"/>
      <c r="O49" s="91">
        <f t="shared" si="5"/>
        <v>0</v>
      </c>
      <c r="P49" s="92">
        <f t="shared" si="2"/>
        <v>32317015</v>
      </c>
    </row>
    <row r="50" spans="1:16" ht="288">
      <c r="A50" s="77" t="s">
        <v>751</v>
      </c>
      <c r="B50" s="77" t="s">
        <v>752</v>
      </c>
      <c r="C50" s="77" t="s">
        <v>455</v>
      </c>
      <c r="D50" s="108" t="s">
        <v>753</v>
      </c>
      <c r="E50" s="92">
        <f>F50</f>
        <v>2236676</v>
      </c>
      <c r="F50" s="92">
        <f>1030968+805708+400000</f>
        <v>2236676</v>
      </c>
      <c r="G50" s="92"/>
      <c r="H50" s="92"/>
      <c r="I50" s="92"/>
      <c r="J50" s="91"/>
      <c r="K50" s="101"/>
      <c r="L50" s="92"/>
      <c r="M50" s="92"/>
      <c r="N50" s="92"/>
      <c r="O50" s="91"/>
      <c r="P50" s="92">
        <f t="shared" si="2"/>
        <v>2236676</v>
      </c>
    </row>
    <row r="51" spans="1:16" ht="72">
      <c r="A51" s="77" t="s">
        <v>456</v>
      </c>
      <c r="B51" s="77" t="s">
        <v>457</v>
      </c>
      <c r="C51" s="77" t="s">
        <v>455</v>
      </c>
      <c r="D51" s="62" t="s">
        <v>458</v>
      </c>
      <c r="E51" s="92">
        <f t="shared" si="10"/>
        <v>199500</v>
      </c>
      <c r="F51" s="92">
        <v>199500</v>
      </c>
      <c r="G51" s="92"/>
      <c r="H51" s="92"/>
      <c r="I51" s="92"/>
      <c r="J51" s="91">
        <f t="shared" si="4"/>
        <v>0</v>
      </c>
      <c r="K51" s="92"/>
      <c r="L51" s="92"/>
      <c r="M51" s="92"/>
      <c r="N51" s="92"/>
      <c r="O51" s="91">
        <f t="shared" si="5"/>
        <v>0</v>
      </c>
      <c r="P51" s="92">
        <f t="shared" si="2"/>
        <v>199500</v>
      </c>
    </row>
    <row r="52" spans="1:16" ht="48" hidden="1">
      <c r="A52" s="77" t="s">
        <v>459</v>
      </c>
      <c r="B52" s="77" t="s">
        <v>460</v>
      </c>
      <c r="C52" s="77" t="s">
        <v>461</v>
      </c>
      <c r="D52" s="57" t="s">
        <v>462</v>
      </c>
      <c r="E52" s="92">
        <f t="shared" si="10"/>
        <v>0</v>
      </c>
      <c r="F52" s="92">
        <f>100000-100000</f>
        <v>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0</v>
      </c>
    </row>
    <row r="53" spans="1:16" ht="72">
      <c r="A53" s="77" t="s">
        <v>717</v>
      </c>
      <c r="B53" s="77" t="s">
        <v>666</v>
      </c>
      <c r="C53" s="77" t="s">
        <v>463</v>
      </c>
      <c r="D53" s="57" t="s">
        <v>667</v>
      </c>
      <c r="E53" s="92"/>
      <c r="F53" s="92"/>
      <c r="G53" s="92"/>
      <c r="H53" s="92"/>
      <c r="I53" s="92"/>
      <c r="J53" s="91">
        <f t="shared" si="4"/>
        <v>2725085</v>
      </c>
      <c r="K53" s="92">
        <f>1489850+401229+1061729+799188-1013643-13268</f>
        <v>2725085</v>
      </c>
      <c r="L53" s="92"/>
      <c r="M53" s="92"/>
      <c r="N53" s="92"/>
      <c r="O53" s="91">
        <f t="shared" si="5"/>
        <v>2725085</v>
      </c>
      <c r="P53" s="92">
        <f t="shared" si="2"/>
        <v>2725085</v>
      </c>
    </row>
    <row r="54" spans="1:16" ht="48">
      <c r="A54" s="77" t="s">
        <v>748</v>
      </c>
      <c r="B54" s="77" t="s">
        <v>749</v>
      </c>
      <c r="C54" s="77" t="s">
        <v>463</v>
      </c>
      <c r="D54" s="57" t="s">
        <v>750</v>
      </c>
      <c r="E54" s="92"/>
      <c r="F54" s="92"/>
      <c r="G54" s="92"/>
      <c r="H54" s="92"/>
      <c r="I54" s="92"/>
      <c r="J54" s="91">
        <f t="shared" si="4"/>
        <v>2071463</v>
      </c>
      <c r="K54" s="92">
        <f>182560+682318+245255+238931+200000+272399+250000</f>
        <v>2071463</v>
      </c>
      <c r="L54" s="92"/>
      <c r="M54" s="92"/>
      <c r="N54" s="92"/>
      <c r="O54" s="91">
        <f t="shared" si="5"/>
        <v>2071463</v>
      </c>
      <c r="P54" s="92">
        <f t="shared" si="2"/>
        <v>2071463</v>
      </c>
    </row>
    <row r="55" spans="1:16" ht="48">
      <c r="A55" s="77" t="s">
        <v>702</v>
      </c>
      <c r="B55" s="77" t="s">
        <v>621</v>
      </c>
      <c r="C55" s="77" t="s">
        <v>463</v>
      </c>
      <c r="D55" s="57" t="s">
        <v>703</v>
      </c>
      <c r="E55" s="92"/>
      <c r="F55" s="92"/>
      <c r="G55" s="92"/>
      <c r="H55" s="92"/>
      <c r="I55" s="92"/>
      <c r="J55" s="91">
        <f t="shared" si="4"/>
        <v>2939539</v>
      </c>
      <c r="K55" s="92">
        <f>236684+57727+284098+1035724+60000+747973+300000+138312+53021+26000</f>
        <v>2939539</v>
      </c>
      <c r="L55" s="92"/>
      <c r="M55" s="92"/>
      <c r="N55" s="92"/>
      <c r="O55" s="91">
        <f t="shared" si="5"/>
        <v>2939539</v>
      </c>
      <c r="P55" s="92">
        <f t="shared" si="2"/>
        <v>2939539</v>
      </c>
    </row>
    <row r="56" spans="1:16" ht="120">
      <c r="A56" s="77" t="s">
        <v>678</v>
      </c>
      <c r="B56" s="77" t="s">
        <v>676</v>
      </c>
      <c r="C56" s="77" t="s">
        <v>464</v>
      </c>
      <c r="D56" s="57" t="s">
        <v>677</v>
      </c>
      <c r="E56" s="92"/>
      <c r="F56" s="92"/>
      <c r="G56" s="92"/>
      <c r="H56" s="92"/>
      <c r="I56" s="92"/>
      <c r="J56" s="91">
        <f t="shared" si="4"/>
        <v>3272395</v>
      </c>
      <c r="K56" s="92">
        <f>1204337+200000+1306707-1204337-200000-190000+2155688</f>
        <v>3272395</v>
      </c>
      <c r="L56" s="92"/>
      <c r="M56" s="92"/>
      <c r="N56" s="92"/>
      <c r="O56" s="91">
        <f>K56</f>
        <v>3272395</v>
      </c>
      <c r="P56" s="92">
        <f>E56+J56</f>
        <v>3272395</v>
      </c>
    </row>
    <row r="57" spans="1:18" ht="154.5" customHeight="1">
      <c r="A57" s="77" t="s">
        <v>303</v>
      </c>
      <c r="B57" s="77" t="s">
        <v>304</v>
      </c>
      <c r="C57" s="77" t="s">
        <v>464</v>
      </c>
      <c r="D57" s="57" t="s">
        <v>305</v>
      </c>
      <c r="E57" s="92"/>
      <c r="F57" s="92"/>
      <c r="G57" s="92"/>
      <c r="H57" s="92"/>
      <c r="I57" s="92"/>
      <c r="J57" s="91">
        <f t="shared" si="4"/>
        <v>500000</v>
      </c>
      <c r="K57" s="92">
        <f>500000</f>
        <v>500000</v>
      </c>
      <c r="L57" s="92"/>
      <c r="M57" s="92"/>
      <c r="N57" s="92"/>
      <c r="O57" s="91">
        <f>K57</f>
        <v>500000</v>
      </c>
      <c r="P57" s="92">
        <f>E57+J57</f>
        <v>500000</v>
      </c>
      <c r="R57" s="278"/>
    </row>
    <row r="58" spans="1:16" ht="78.75" customHeight="1">
      <c r="A58" s="77" t="s">
        <v>744</v>
      </c>
      <c r="B58" s="77" t="s">
        <v>745</v>
      </c>
      <c r="C58" s="77" t="s">
        <v>746</v>
      </c>
      <c r="D58" s="57" t="s">
        <v>747</v>
      </c>
      <c r="E58" s="92">
        <f>F58</f>
        <v>644338</v>
      </c>
      <c r="F58" s="92">
        <f>187310+219817+130294+106917</f>
        <v>644338</v>
      </c>
      <c r="G58" s="92"/>
      <c r="H58" s="92"/>
      <c r="I58" s="92"/>
      <c r="J58" s="91"/>
      <c r="K58" s="92"/>
      <c r="L58" s="92"/>
      <c r="M58" s="92"/>
      <c r="N58" s="92"/>
      <c r="O58" s="91"/>
      <c r="P58" s="92">
        <f>E58+J58</f>
        <v>644338</v>
      </c>
    </row>
    <row r="59" spans="1:16" ht="78.75" customHeight="1">
      <c r="A59" s="77" t="s">
        <v>143</v>
      </c>
      <c r="B59" s="77" t="s">
        <v>144</v>
      </c>
      <c r="C59" s="77" t="s">
        <v>746</v>
      </c>
      <c r="D59" s="57" t="s">
        <v>145</v>
      </c>
      <c r="E59" s="92">
        <f>F59</f>
        <v>645000</v>
      </c>
      <c r="F59" s="92">
        <f>195000+450000</f>
        <v>645000</v>
      </c>
      <c r="G59" s="92"/>
      <c r="H59" s="92"/>
      <c r="I59" s="92"/>
      <c r="J59" s="91"/>
      <c r="K59" s="92"/>
      <c r="L59" s="92"/>
      <c r="M59" s="92"/>
      <c r="N59" s="92"/>
      <c r="O59" s="91"/>
      <c r="P59" s="92">
        <f>E59+J59</f>
        <v>645000</v>
      </c>
    </row>
    <row r="60" spans="1:16" ht="120">
      <c r="A60" s="77" t="s">
        <v>465</v>
      </c>
      <c r="B60" s="77" t="s">
        <v>466</v>
      </c>
      <c r="C60" s="77" t="s">
        <v>467</v>
      </c>
      <c r="D60" s="57" t="s">
        <v>468</v>
      </c>
      <c r="E60" s="92">
        <f t="shared" si="10"/>
        <v>7657091</v>
      </c>
      <c r="F60" s="92">
        <f>7500000+157091</f>
        <v>7657091</v>
      </c>
      <c r="G60" s="92"/>
      <c r="H60" s="92"/>
      <c r="I60" s="92"/>
      <c r="J60" s="91">
        <f t="shared" si="4"/>
        <v>0</v>
      </c>
      <c r="K60" s="92"/>
      <c r="L60" s="92"/>
      <c r="M60" s="92"/>
      <c r="N60" s="92"/>
      <c r="O60" s="91">
        <f t="shared" si="5"/>
        <v>0</v>
      </c>
      <c r="P60" s="92">
        <f t="shared" si="2"/>
        <v>7657091</v>
      </c>
    </row>
    <row r="61" spans="1:16" ht="72">
      <c r="A61" s="77" t="s">
        <v>679</v>
      </c>
      <c r="B61" s="77" t="s">
        <v>680</v>
      </c>
      <c r="C61" s="77" t="s">
        <v>464</v>
      </c>
      <c r="D61" s="63" t="s">
        <v>681</v>
      </c>
      <c r="E61" s="92"/>
      <c r="F61" s="92"/>
      <c r="G61" s="92"/>
      <c r="H61" s="92"/>
      <c r="I61" s="92"/>
      <c r="J61" s="91">
        <f t="shared" si="4"/>
        <v>10892931</v>
      </c>
      <c r="K61" s="92">
        <f>4500000+3250000+4500000+1500000+65306+512640+945200+239000-4500000+40000+500000-790494+67224-154706-300150+222500+245292+27948+23171</f>
        <v>10892931</v>
      </c>
      <c r="L61" s="92"/>
      <c r="M61" s="92"/>
      <c r="N61" s="92"/>
      <c r="O61" s="91">
        <f>K61</f>
        <v>10892931</v>
      </c>
      <c r="P61" s="92">
        <f>E61+J61</f>
        <v>10892931</v>
      </c>
    </row>
    <row r="62" spans="1:16" ht="72">
      <c r="A62" s="77" t="s">
        <v>469</v>
      </c>
      <c r="B62" s="77" t="s">
        <v>470</v>
      </c>
      <c r="C62" s="77" t="s">
        <v>464</v>
      </c>
      <c r="D62" s="63" t="s">
        <v>471</v>
      </c>
      <c r="E62" s="92">
        <f t="shared" si="10"/>
        <v>29837</v>
      </c>
      <c r="F62" s="92">
        <f>25325+4512</f>
        <v>29837</v>
      </c>
      <c r="G62" s="92"/>
      <c r="H62" s="92"/>
      <c r="I62" s="92"/>
      <c r="J62" s="91">
        <f t="shared" si="4"/>
        <v>0</v>
      </c>
      <c r="K62" s="92"/>
      <c r="L62" s="92"/>
      <c r="M62" s="92"/>
      <c r="N62" s="92"/>
      <c r="O62" s="91">
        <f t="shared" si="5"/>
        <v>0</v>
      </c>
      <c r="P62" s="92">
        <f t="shared" si="2"/>
        <v>29837</v>
      </c>
    </row>
    <row r="63" spans="1:16" ht="48">
      <c r="A63" s="77" t="s">
        <v>472</v>
      </c>
      <c r="B63" s="77" t="s">
        <v>473</v>
      </c>
      <c r="C63" s="77" t="s">
        <v>464</v>
      </c>
      <c r="D63" s="57" t="s">
        <v>474</v>
      </c>
      <c r="E63" s="92">
        <f t="shared" si="10"/>
        <v>4587172</v>
      </c>
      <c r="F63" s="92">
        <f>1978205+50000+400000-50000+17669+195000+58410+78000+456628+91204-300000+386452+195364+400000+300000+32500+70027+100000+28000+49982+49731</f>
        <v>4587172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4587172</v>
      </c>
    </row>
    <row r="64" spans="1:16" ht="72">
      <c r="A64" s="77" t="s">
        <v>475</v>
      </c>
      <c r="B64" s="77" t="s">
        <v>476</v>
      </c>
      <c r="C64" s="77" t="s">
        <v>477</v>
      </c>
      <c r="D64" s="64" t="s">
        <v>478</v>
      </c>
      <c r="E64" s="92">
        <f t="shared" si="10"/>
        <v>3028557</v>
      </c>
      <c r="F64" s="92">
        <f>2497345+62500+51658+417054</f>
        <v>3028557</v>
      </c>
      <c r="G64" s="92"/>
      <c r="H64" s="92"/>
      <c r="I64" s="92"/>
      <c r="J64" s="91">
        <f t="shared" si="4"/>
        <v>0</v>
      </c>
      <c r="K64" s="92"/>
      <c r="L64" s="92"/>
      <c r="M64" s="92"/>
      <c r="N64" s="92"/>
      <c r="O64" s="91">
        <f t="shared" si="5"/>
        <v>0</v>
      </c>
      <c r="P64" s="92">
        <f t="shared" si="2"/>
        <v>3028557</v>
      </c>
    </row>
    <row r="65" spans="1:16" ht="48">
      <c r="A65" s="77" t="s">
        <v>479</v>
      </c>
      <c r="B65" s="77" t="s">
        <v>480</v>
      </c>
      <c r="C65" s="77" t="s">
        <v>481</v>
      </c>
      <c r="D65" s="62" t="s">
        <v>482</v>
      </c>
      <c r="E65" s="92"/>
      <c r="F65" s="92"/>
      <c r="G65" s="92"/>
      <c r="H65" s="92"/>
      <c r="I65" s="92"/>
      <c r="J65" s="91">
        <f t="shared" si="4"/>
        <v>925958</v>
      </c>
      <c r="K65" s="92"/>
      <c r="L65" s="92">
        <f>212000+433958</f>
        <v>645958</v>
      </c>
      <c r="M65" s="92"/>
      <c r="N65" s="92"/>
      <c r="O65" s="91">
        <f>280000</f>
        <v>280000</v>
      </c>
      <c r="P65" s="92">
        <f t="shared" si="2"/>
        <v>925958</v>
      </c>
    </row>
    <row r="66" spans="1:16" ht="48">
      <c r="A66" s="77" t="s">
        <v>483</v>
      </c>
      <c r="B66" s="77" t="s">
        <v>484</v>
      </c>
      <c r="C66" s="77" t="s">
        <v>485</v>
      </c>
      <c r="D66" s="62" t="s">
        <v>486</v>
      </c>
      <c r="E66" s="92">
        <f t="shared" si="10"/>
        <v>749450</v>
      </c>
      <c r="F66" s="92">
        <v>749450</v>
      </c>
      <c r="G66" s="92"/>
      <c r="H66" s="92"/>
      <c r="I66" s="92"/>
      <c r="J66" s="91">
        <f t="shared" si="4"/>
        <v>0</v>
      </c>
      <c r="K66" s="92"/>
      <c r="L66" s="92"/>
      <c r="M66" s="92"/>
      <c r="N66" s="92"/>
      <c r="O66" s="91">
        <f t="shared" si="5"/>
        <v>0</v>
      </c>
      <c r="P66" s="92">
        <f t="shared" si="2"/>
        <v>749450</v>
      </c>
    </row>
    <row r="67" spans="1:16" ht="48.75" thickBot="1">
      <c r="A67" s="79" t="s">
        <v>487</v>
      </c>
      <c r="B67" s="79" t="s">
        <v>488</v>
      </c>
      <c r="C67" s="79" t="s">
        <v>485</v>
      </c>
      <c r="D67" s="65" t="s">
        <v>489</v>
      </c>
      <c r="E67" s="93">
        <f t="shared" si="10"/>
        <v>1070455</v>
      </c>
      <c r="F67" s="93">
        <v>1070455</v>
      </c>
      <c r="G67" s="93"/>
      <c r="H67" s="93"/>
      <c r="I67" s="93"/>
      <c r="J67" s="94">
        <f t="shared" si="4"/>
        <v>0</v>
      </c>
      <c r="K67" s="93"/>
      <c r="L67" s="93"/>
      <c r="M67" s="93"/>
      <c r="N67" s="93"/>
      <c r="O67" s="94">
        <f t="shared" si="5"/>
        <v>0</v>
      </c>
      <c r="P67" s="93">
        <f t="shared" si="2"/>
        <v>1070455</v>
      </c>
    </row>
    <row r="68" spans="1:16" s="15" customFormat="1" ht="69.75">
      <c r="A68" s="75" t="s">
        <v>490</v>
      </c>
      <c r="B68" s="75"/>
      <c r="C68" s="75"/>
      <c r="D68" s="54" t="s">
        <v>491</v>
      </c>
      <c r="E68" s="89">
        <f>E69</f>
        <v>275488274</v>
      </c>
      <c r="F68" s="89">
        <f aca="true" t="shared" si="11" ref="F68:N68">F69</f>
        <v>275488274</v>
      </c>
      <c r="G68" s="89">
        <f t="shared" si="11"/>
        <v>230944502</v>
      </c>
      <c r="H68" s="89">
        <f t="shared" si="11"/>
        <v>26143448</v>
      </c>
      <c r="I68" s="89">
        <f t="shared" si="11"/>
        <v>0</v>
      </c>
      <c r="J68" s="89">
        <f t="shared" si="11"/>
        <v>17435310</v>
      </c>
      <c r="K68" s="89">
        <f t="shared" si="11"/>
        <v>9350317</v>
      </c>
      <c r="L68" s="89">
        <f t="shared" si="11"/>
        <v>8084993</v>
      </c>
      <c r="M68" s="89">
        <f t="shared" si="11"/>
        <v>1371748</v>
      </c>
      <c r="N68" s="89">
        <f t="shared" si="11"/>
        <v>35707</v>
      </c>
      <c r="O68" s="95">
        <f t="shared" si="5"/>
        <v>9350317</v>
      </c>
      <c r="P68" s="89">
        <f t="shared" si="2"/>
        <v>292923584</v>
      </c>
    </row>
    <row r="69" spans="1:16" s="15" customFormat="1" ht="69.75">
      <c r="A69" s="76" t="s">
        <v>492</v>
      </c>
      <c r="B69" s="76"/>
      <c r="C69" s="76"/>
      <c r="D69" s="55" t="s">
        <v>491</v>
      </c>
      <c r="E69" s="90">
        <f>E70+E71+E72+E84+E85+E86+E87+E88+E95+E97+E94</f>
        <v>275488274</v>
      </c>
      <c r="F69" s="90">
        <f>F70+F71+F72+F84+F85+F86+F87+F88+F95+F97+F94</f>
        <v>275488274</v>
      </c>
      <c r="G69" s="90">
        <f>G70+G71+G72+G84+G85+G86+G87+G88+G95+G97+G94</f>
        <v>230944502</v>
      </c>
      <c r="H69" s="90">
        <f>H70+H71+H72+H84+H85+H86+H87+H88+H95+H97+H94</f>
        <v>26143448</v>
      </c>
      <c r="I69" s="90">
        <f>I70+I71+I72+I84+I85+I86+I87+I88+I95+I97</f>
        <v>0</v>
      </c>
      <c r="J69" s="90">
        <f aca="true" t="shared" si="12" ref="J69:O69">J70+J71+J72+J84+J85+J86+J87+J88+J95+J96+J97+J91</f>
        <v>17435310</v>
      </c>
      <c r="K69" s="90">
        <f t="shared" si="12"/>
        <v>9350317</v>
      </c>
      <c r="L69" s="90">
        <f t="shared" si="12"/>
        <v>8084993</v>
      </c>
      <c r="M69" s="90">
        <f t="shared" si="12"/>
        <v>1371748</v>
      </c>
      <c r="N69" s="90">
        <f t="shared" si="12"/>
        <v>35707</v>
      </c>
      <c r="O69" s="90">
        <f t="shared" si="12"/>
        <v>9350317</v>
      </c>
      <c r="P69" s="90">
        <f t="shared" si="2"/>
        <v>292923584</v>
      </c>
    </row>
    <row r="70" spans="1:16" ht="120">
      <c r="A70" s="77" t="s">
        <v>493</v>
      </c>
      <c r="B70" s="77" t="s">
        <v>494</v>
      </c>
      <c r="C70" s="77" t="s">
        <v>399</v>
      </c>
      <c r="D70" s="57" t="s">
        <v>495</v>
      </c>
      <c r="E70" s="92">
        <f>F70</f>
        <v>1648280</v>
      </c>
      <c r="F70" s="92">
        <f>1543305+87475+17500</f>
        <v>1648280</v>
      </c>
      <c r="G70" s="92">
        <f>1437782+87475</f>
        <v>1525257</v>
      </c>
      <c r="H70" s="92">
        <v>61615</v>
      </c>
      <c r="I70" s="92"/>
      <c r="J70" s="91">
        <f t="shared" si="4"/>
        <v>13000</v>
      </c>
      <c r="K70" s="92">
        <f>13000</f>
        <v>13000</v>
      </c>
      <c r="L70" s="92"/>
      <c r="M70" s="92"/>
      <c r="N70" s="92"/>
      <c r="O70" s="91">
        <f t="shared" si="5"/>
        <v>13000</v>
      </c>
      <c r="P70" s="92">
        <f t="shared" si="2"/>
        <v>1661280</v>
      </c>
    </row>
    <row r="71" spans="1:16" ht="24">
      <c r="A71" s="77" t="s">
        <v>496</v>
      </c>
      <c r="B71" s="77" t="s">
        <v>497</v>
      </c>
      <c r="C71" s="77" t="s">
        <v>498</v>
      </c>
      <c r="D71" s="57" t="s">
        <v>499</v>
      </c>
      <c r="E71" s="92">
        <f>F71</f>
        <v>88938092</v>
      </c>
      <c r="F71" s="92">
        <f>78894027+4672462+2490037-472825+3877569+28916-500000-16800-16000-12500-6794</f>
        <v>88938092</v>
      </c>
      <c r="G71" s="92">
        <f>63227525+4140907+2061205+3196291</f>
        <v>72625928</v>
      </c>
      <c r="H71" s="92">
        <f>11705083+332650+292993-472824+428855-500000</f>
        <v>11786757</v>
      </c>
      <c r="I71" s="92"/>
      <c r="J71" s="91">
        <f t="shared" si="4"/>
        <v>5196822</v>
      </c>
      <c r="K71" s="92">
        <f>12000+16800+16800+16000+6794</f>
        <v>68394</v>
      </c>
      <c r="L71" s="92">
        <f>4487928+414750+225750</f>
        <v>5128428</v>
      </c>
      <c r="M71" s="92"/>
      <c r="N71" s="92"/>
      <c r="O71" s="91">
        <f t="shared" si="5"/>
        <v>68394</v>
      </c>
      <c r="P71" s="92">
        <f t="shared" si="2"/>
        <v>94134914</v>
      </c>
    </row>
    <row r="72" spans="1:16" ht="144">
      <c r="A72" s="77" t="s">
        <v>500</v>
      </c>
      <c r="B72" s="77" t="s">
        <v>501</v>
      </c>
      <c r="C72" s="77" t="s">
        <v>502</v>
      </c>
      <c r="D72" s="56" t="s">
        <v>705</v>
      </c>
      <c r="E72" s="92">
        <f>SUM(E74:E83)</f>
        <v>170545186</v>
      </c>
      <c r="F72" s="92">
        <f aca="true" t="shared" si="13" ref="F72:O72">SUM(F74:F83)</f>
        <v>170545186</v>
      </c>
      <c r="G72" s="92">
        <f t="shared" si="13"/>
        <v>143605362</v>
      </c>
      <c r="H72" s="92">
        <f t="shared" si="13"/>
        <v>13399479</v>
      </c>
      <c r="I72" s="92">
        <f t="shared" si="13"/>
        <v>0</v>
      </c>
      <c r="J72" s="92">
        <f t="shared" si="13"/>
        <v>4206405</v>
      </c>
      <c r="K72" s="92">
        <f t="shared" si="13"/>
        <v>1249840</v>
      </c>
      <c r="L72" s="92">
        <f t="shared" si="13"/>
        <v>2956565</v>
      </c>
      <c r="M72" s="92">
        <f t="shared" si="13"/>
        <v>1371748</v>
      </c>
      <c r="N72" s="92">
        <f t="shared" si="13"/>
        <v>35707</v>
      </c>
      <c r="O72" s="92">
        <f t="shared" si="13"/>
        <v>1249840</v>
      </c>
      <c r="P72" s="92">
        <f t="shared" si="2"/>
        <v>174751591</v>
      </c>
    </row>
    <row r="73" spans="1:16" ht="24" hidden="1">
      <c r="A73" s="77"/>
      <c r="B73" s="77"/>
      <c r="C73" s="77"/>
      <c r="D73" s="66" t="s">
        <v>401</v>
      </c>
      <c r="E73" s="92"/>
      <c r="F73" s="92"/>
      <c r="G73" s="92"/>
      <c r="H73" s="92"/>
      <c r="I73" s="92"/>
      <c r="J73" s="91">
        <f t="shared" si="4"/>
        <v>0</v>
      </c>
      <c r="K73" s="92"/>
      <c r="L73" s="92"/>
      <c r="M73" s="92"/>
      <c r="N73" s="92"/>
      <c r="O73" s="91">
        <f t="shared" si="5"/>
        <v>0</v>
      </c>
      <c r="P73" s="92">
        <f t="shared" si="2"/>
        <v>0</v>
      </c>
    </row>
    <row r="74" spans="1:16" ht="48" hidden="1">
      <c r="A74" s="77"/>
      <c r="B74" s="77"/>
      <c r="C74" s="77"/>
      <c r="D74" s="67" t="s">
        <v>503</v>
      </c>
      <c r="E74" s="92">
        <f>F74</f>
        <v>114051648</v>
      </c>
      <c r="F74" s="92">
        <f>94732600+18873+19297400+2775</f>
        <v>114051648</v>
      </c>
      <c r="G74" s="92">
        <f>94732600+18873+19297400+2775</f>
        <v>114051648</v>
      </c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114051648</v>
      </c>
    </row>
    <row r="75" spans="1:16" ht="48" hidden="1">
      <c r="A75" s="77"/>
      <c r="B75" s="77"/>
      <c r="C75" s="77"/>
      <c r="D75" s="67" t="s">
        <v>504</v>
      </c>
      <c r="E75" s="92"/>
      <c r="F75" s="92"/>
      <c r="G75" s="92"/>
      <c r="H75" s="92"/>
      <c r="I75" s="92"/>
      <c r="J75" s="91">
        <f t="shared" si="4"/>
        <v>0</v>
      </c>
      <c r="K75" s="92"/>
      <c r="L75" s="92"/>
      <c r="M75" s="92"/>
      <c r="N75" s="92"/>
      <c r="O75" s="91">
        <f t="shared" si="5"/>
        <v>0</v>
      </c>
      <c r="P75" s="92">
        <f t="shared" si="2"/>
        <v>0</v>
      </c>
    </row>
    <row r="76" spans="1:16" ht="216" hidden="1">
      <c r="A76" s="77"/>
      <c r="B76" s="77"/>
      <c r="C76" s="77"/>
      <c r="D76" s="67" t="s">
        <v>505</v>
      </c>
      <c r="E76" s="92">
        <f>F76</f>
        <v>1384149</v>
      </c>
      <c r="F76" s="92">
        <f>1536303+1877-328856+174825</f>
        <v>1384149</v>
      </c>
      <c r="G76" s="92"/>
      <c r="H76" s="92"/>
      <c r="I76" s="92"/>
      <c r="J76" s="91">
        <f t="shared" si="4"/>
        <v>346153</v>
      </c>
      <c r="K76" s="92">
        <f>520437+541-174825</f>
        <v>346153</v>
      </c>
      <c r="L76" s="92"/>
      <c r="M76" s="92"/>
      <c r="N76" s="92"/>
      <c r="O76" s="91">
        <f t="shared" si="5"/>
        <v>346153</v>
      </c>
      <c r="P76" s="92">
        <f>J76+E76</f>
        <v>1730302</v>
      </c>
    </row>
    <row r="77" spans="1:16" ht="216" hidden="1">
      <c r="A77" s="77"/>
      <c r="B77" s="77"/>
      <c r="C77" s="77"/>
      <c r="D77" s="67" t="s">
        <v>358</v>
      </c>
      <c r="E77" s="92">
        <f>F77</f>
        <v>755555</v>
      </c>
      <c r="F77" s="92">
        <f>135900+38441+113250+467964</f>
        <v>755555</v>
      </c>
      <c r="G77" s="92">
        <f>135900+38441+113250+467964</f>
        <v>755555</v>
      </c>
      <c r="H77" s="92"/>
      <c r="I77" s="92"/>
      <c r="J77" s="91">
        <f t="shared" si="4"/>
        <v>219417</v>
      </c>
      <c r="K77" s="92">
        <f>O77</f>
        <v>219417</v>
      </c>
      <c r="L77" s="92"/>
      <c r="M77" s="92"/>
      <c r="N77" s="92"/>
      <c r="O77" s="91">
        <f>144000+120000-44583</f>
        <v>219417</v>
      </c>
      <c r="P77" s="92">
        <f t="shared" si="2"/>
        <v>974972</v>
      </c>
    </row>
    <row r="78" spans="1:16" ht="168" hidden="1">
      <c r="A78" s="77"/>
      <c r="B78" s="77"/>
      <c r="C78" s="77"/>
      <c r="D78" s="67" t="s">
        <v>506</v>
      </c>
      <c r="E78" s="92"/>
      <c r="F78" s="92"/>
      <c r="G78" s="92"/>
      <c r="H78" s="92"/>
      <c r="I78" s="92"/>
      <c r="J78" s="91">
        <f t="shared" si="4"/>
        <v>0</v>
      </c>
      <c r="K78" s="92"/>
      <c r="L78" s="92"/>
      <c r="M78" s="92"/>
      <c r="N78" s="92"/>
      <c r="O78" s="91">
        <f t="shared" si="5"/>
        <v>0</v>
      </c>
      <c r="P78" s="92">
        <f t="shared" si="2"/>
        <v>0</v>
      </c>
    </row>
    <row r="79" spans="1:16" ht="192" hidden="1">
      <c r="A79" s="77"/>
      <c r="B79" s="77"/>
      <c r="C79" s="77"/>
      <c r="D79" s="67" t="s">
        <v>507</v>
      </c>
      <c r="E79" s="92"/>
      <c r="F79" s="92"/>
      <c r="G79" s="92"/>
      <c r="H79" s="92"/>
      <c r="I79" s="92"/>
      <c r="J79" s="91">
        <f t="shared" si="4"/>
        <v>0</v>
      </c>
      <c r="K79" s="92"/>
      <c r="L79" s="92"/>
      <c r="M79" s="92"/>
      <c r="N79" s="92"/>
      <c r="O79" s="91">
        <f t="shared" si="5"/>
        <v>0</v>
      </c>
      <c r="P79" s="92">
        <f t="shared" si="2"/>
        <v>0</v>
      </c>
    </row>
    <row r="80" spans="1:16" ht="216" hidden="1">
      <c r="A80" s="77"/>
      <c r="B80" s="77"/>
      <c r="C80" s="77"/>
      <c r="D80" s="100" t="s">
        <v>687</v>
      </c>
      <c r="E80" s="92">
        <f>F80</f>
        <v>1256800</v>
      </c>
      <c r="F80" s="92">
        <f>1256800</f>
        <v>1256800</v>
      </c>
      <c r="G80" s="92"/>
      <c r="H80" s="92">
        <v>1256800</v>
      </c>
      <c r="I80" s="92"/>
      <c r="J80" s="91"/>
      <c r="K80" s="92"/>
      <c r="L80" s="92"/>
      <c r="M80" s="92"/>
      <c r="N80" s="92"/>
      <c r="O80" s="91"/>
      <c r="P80" s="92">
        <f t="shared" si="2"/>
        <v>1256800</v>
      </c>
    </row>
    <row r="81" spans="1:16" ht="144" hidden="1">
      <c r="A81" s="77"/>
      <c r="B81" s="77"/>
      <c r="C81" s="77"/>
      <c r="D81" s="102" t="s">
        <v>701</v>
      </c>
      <c r="E81" s="92"/>
      <c r="F81" s="92"/>
      <c r="G81" s="92"/>
      <c r="H81" s="92"/>
      <c r="I81" s="92"/>
      <c r="J81" s="91">
        <f>K81+L81</f>
        <v>0</v>
      </c>
      <c r="K81" s="92"/>
      <c r="L81" s="92"/>
      <c r="M81" s="92"/>
      <c r="N81" s="92">
        <f>K81</f>
        <v>0</v>
      </c>
      <c r="O81" s="91"/>
      <c r="P81" s="92">
        <f t="shared" si="2"/>
        <v>0</v>
      </c>
    </row>
    <row r="82" spans="1:16" ht="144.75" hidden="1" thickBot="1">
      <c r="A82" s="77"/>
      <c r="B82" s="77"/>
      <c r="C82" s="77"/>
      <c r="D82" s="70" t="s">
        <v>149</v>
      </c>
      <c r="E82" s="92">
        <f>F82</f>
        <v>238286</v>
      </c>
      <c r="F82" s="92">
        <f>15190+223096</f>
        <v>238286</v>
      </c>
      <c r="G82" s="92"/>
      <c r="H82" s="92"/>
      <c r="I82" s="92"/>
      <c r="J82" s="91">
        <f>K82+L82</f>
        <v>479017</v>
      </c>
      <c r="K82" s="92">
        <f>132769+346248</f>
        <v>479017</v>
      </c>
      <c r="L82" s="92"/>
      <c r="M82" s="92"/>
      <c r="N82" s="92"/>
      <c r="O82" s="91">
        <f>K82</f>
        <v>479017</v>
      </c>
      <c r="P82" s="92">
        <f t="shared" si="2"/>
        <v>717303</v>
      </c>
    </row>
    <row r="83" spans="1:16" ht="24" hidden="1">
      <c r="A83" s="77"/>
      <c r="B83" s="77"/>
      <c r="C83" s="77"/>
      <c r="D83" s="57" t="s">
        <v>416</v>
      </c>
      <c r="E83" s="92">
        <f aca="true" t="shared" si="14" ref="E83:E95">F83</f>
        <v>52858748</v>
      </c>
      <c r="F83" s="92">
        <f>51371014+2284676-671908+2418084+1380210-1256800+34340+38094+517478-45716-3313+6510-105436+804-2000000-102723-400718-56663-49185-500000</f>
        <v>52858748</v>
      </c>
      <c r="G83" s="92">
        <f>26001972+1356916+1439271</f>
        <v>28798159</v>
      </c>
      <c r="H83" s="92">
        <f>15460808+607240-671909+503340-1256800-2000000-500000</f>
        <v>12142679</v>
      </c>
      <c r="I83" s="92"/>
      <c r="J83" s="91">
        <f t="shared" si="4"/>
        <v>3161818</v>
      </c>
      <c r="K83" s="92">
        <f>148120+56901+232</f>
        <v>205253</v>
      </c>
      <c r="L83" s="92">
        <f>2719655+24750+212160</f>
        <v>2956565</v>
      </c>
      <c r="M83" s="92">
        <f>1124382+247366</f>
        <v>1371748</v>
      </c>
      <c r="N83" s="92">
        <f>35707</f>
        <v>35707</v>
      </c>
      <c r="O83" s="91">
        <f t="shared" si="5"/>
        <v>205253</v>
      </c>
      <c r="P83" s="92">
        <f t="shared" si="2"/>
        <v>56020566</v>
      </c>
    </row>
    <row r="84" spans="1:16" ht="120">
      <c r="A84" s="77" t="s">
        <v>508</v>
      </c>
      <c r="B84" s="77" t="s">
        <v>437</v>
      </c>
      <c r="C84" s="77" t="s">
        <v>509</v>
      </c>
      <c r="D84" s="57" t="s">
        <v>706</v>
      </c>
      <c r="E84" s="92">
        <f t="shared" si="14"/>
        <v>6261129</v>
      </c>
      <c r="F84" s="92">
        <f>6250010+11119</f>
        <v>6261129</v>
      </c>
      <c r="G84" s="92">
        <v>5836040</v>
      </c>
      <c r="H84" s="92">
        <v>348110</v>
      </c>
      <c r="I84" s="92"/>
      <c r="J84" s="91">
        <f t="shared" si="4"/>
        <v>0</v>
      </c>
      <c r="K84" s="92"/>
      <c r="L84" s="92"/>
      <c r="M84" s="92"/>
      <c r="N84" s="92"/>
      <c r="O84" s="91">
        <f t="shared" si="5"/>
        <v>0</v>
      </c>
      <c r="P84" s="92">
        <f t="shared" si="2"/>
        <v>6261129</v>
      </c>
    </row>
    <row r="85" spans="1:16" ht="48">
      <c r="A85" s="77" t="s">
        <v>510</v>
      </c>
      <c r="B85" s="77" t="s">
        <v>511</v>
      </c>
      <c r="C85" s="77" t="s">
        <v>512</v>
      </c>
      <c r="D85" s="57" t="s">
        <v>707</v>
      </c>
      <c r="E85" s="92">
        <f t="shared" si="14"/>
        <v>1453177</v>
      </c>
      <c r="F85" s="92">
        <v>1453177</v>
      </c>
      <c r="G85" s="92">
        <v>1381902</v>
      </c>
      <c r="H85" s="92">
        <v>44964</v>
      </c>
      <c r="I85" s="92"/>
      <c r="J85" s="91">
        <f t="shared" si="4"/>
        <v>0</v>
      </c>
      <c r="K85" s="92"/>
      <c r="L85" s="92"/>
      <c r="M85" s="92"/>
      <c r="N85" s="92"/>
      <c r="O85" s="91">
        <f t="shared" si="5"/>
        <v>0</v>
      </c>
      <c r="P85" s="92">
        <f t="shared" si="2"/>
        <v>1453177</v>
      </c>
    </row>
    <row r="86" spans="1:16" ht="72">
      <c r="A86" s="77" t="s">
        <v>513</v>
      </c>
      <c r="B86" s="77" t="s">
        <v>514</v>
      </c>
      <c r="C86" s="77" t="s">
        <v>512</v>
      </c>
      <c r="D86" s="68" t="s">
        <v>515</v>
      </c>
      <c r="E86" s="92">
        <f t="shared" si="14"/>
        <v>2446516</v>
      </c>
      <c r="F86" s="92">
        <v>2446516</v>
      </c>
      <c r="G86" s="92">
        <f>2067809+229809</f>
        <v>2297618</v>
      </c>
      <c r="H86" s="92">
        <v>76668</v>
      </c>
      <c r="I86" s="92"/>
      <c r="J86" s="91">
        <f t="shared" si="4"/>
        <v>35000</v>
      </c>
      <c r="K86" s="92">
        <f>35000</f>
        <v>35000</v>
      </c>
      <c r="L86" s="92"/>
      <c r="M86" s="92"/>
      <c r="N86" s="92"/>
      <c r="O86" s="91">
        <f t="shared" si="5"/>
        <v>35000</v>
      </c>
      <c r="P86" s="92">
        <f t="shared" si="2"/>
        <v>2481516</v>
      </c>
    </row>
    <row r="87" spans="1:16" ht="48">
      <c r="A87" s="77" t="s">
        <v>516</v>
      </c>
      <c r="B87" s="77" t="s">
        <v>517</v>
      </c>
      <c r="C87" s="77" t="s">
        <v>512</v>
      </c>
      <c r="D87" s="57" t="s">
        <v>518</v>
      </c>
      <c r="E87" s="91">
        <f t="shared" si="14"/>
        <v>30770</v>
      </c>
      <c r="F87" s="91">
        <v>30770</v>
      </c>
      <c r="G87" s="91"/>
      <c r="H87" s="91"/>
      <c r="I87" s="91"/>
      <c r="J87" s="91">
        <f t="shared" si="4"/>
        <v>0</v>
      </c>
      <c r="K87" s="91"/>
      <c r="L87" s="91"/>
      <c r="M87" s="91"/>
      <c r="N87" s="91"/>
      <c r="O87" s="91">
        <f t="shared" si="5"/>
        <v>0</v>
      </c>
      <c r="P87" s="92">
        <f t="shared" si="2"/>
        <v>30770</v>
      </c>
    </row>
    <row r="88" spans="1:16" ht="72">
      <c r="A88" s="77" t="s">
        <v>519</v>
      </c>
      <c r="B88" s="77" t="s">
        <v>520</v>
      </c>
      <c r="C88" s="77" t="s">
        <v>512</v>
      </c>
      <c r="D88" s="57" t="s">
        <v>521</v>
      </c>
      <c r="E88" s="96">
        <f>SUM(E89:E90)</f>
        <v>1137204</v>
      </c>
      <c r="F88" s="96">
        <f aca="true" t="shared" si="15" ref="F88:O88">SUM(F89:F90)</f>
        <v>1137204</v>
      </c>
      <c r="G88" s="96">
        <f t="shared" si="15"/>
        <v>1068076</v>
      </c>
      <c r="H88" s="96">
        <f t="shared" si="15"/>
        <v>63385</v>
      </c>
      <c r="I88" s="96">
        <f t="shared" si="15"/>
        <v>0</v>
      </c>
      <c r="J88" s="96">
        <f t="shared" si="15"/>
        <v>0</v>
      </c>
      <c r="K88" s="96">
        <f t="shared" si="15"/>
        <v>0</v>
      </c>
      <c r="L88" s="96">
        <f t="shared" si="15"/>
        <v>0</v>
      </c>
      <c r="M88" s="96">
        <f t="shared" si="15"/>
        <v>0</v>
      </c>
      <c r="N88" s="96">
        <f t="shared" si="15"/>
        <v>0</v>
      </c>
      <c r="O88" s="96">
        <f t="shared" si="15"/>
        <v>0</v>
      </c>
      <c r="P88" s="92">
        <f aca="true" t="shared" si="16" ref="P88:P94">E88+J88</f>
        <v>1137204</v>
      </c>
    </row>
    <row r="89" spans="1:16" ht="120" hidden="1">
      <c r="A89" s="80"/>
      <c r="B89" s="80"/>
      <c r="C89" s="80"/>
      <c r="D89" s="69" t="s">
        <v>688</v>
      </c>
      <c r="E89" s="97">
        <f>F89</f>
        <v>882064</v>
      </c>
      <c r="F89" s="97">
        <f>844767+37297</f>
        <v>882064</v>
      </c>
      <c r="G89" s="97">
        <f>844767+37297</f>
        <v>882064</v>
      </c>
      <c r="H89" s="97"/>
      <c r="I89" s="97"/>
      <c r="J89" s="97"/>
      <c r="K89" s="97"/>
      <c r="L89" s="97"/>
      <c r="M89" s="97"/>
      <c r="N89" s="97"/>
      <c r="O89" s="97"/>
      <c r="P89" s="92">
        <f t="shared" si="16"/>
        <v>882064</v>
      </c>
    </row>
    <row r="90" spans="1:16" ht="24" hidden="1">
      <c r="A90" s="80"/>
      <c r="B90" s="80"/>
      <c r="C90" s="80"/>
      <c r="D90" s="69" t="s">
        <v>416</v>
      </c>
      <c r="E90" s="91">
        <f>F90</f>
        <v>255140</v>
      </c>
      <c r="F90" s="91">
        <v>255140</v>
      </c>
      <c r="G90" s="91">
        <v>186012</v>
      </c>
      <c r="H90" s="91">
        <v>63385</v>
      </c>
      <c r="I90" s="97"/>
      <c r="J90" s="97"/>
      <c r="K90" s="97"/>
      <c r="L90" s="97"/>
      <c r="M90" s="97"/>
      <c r="N90" s="97"/>
      <c r="O90" s="97"/>
      <c r="P90" s="92">
        <f t="shared" si="16"/>
        <v>255140</v>
      </c>
    </row>
    <row r="91" spans="1:16" ht="96">
      <c r="A91" s="80" t="s">
        <v>341</v>
      </c>
      <c r="B91" s="80" t="s">
        <v>342</v>
      </c>
      <c r="C91" s="80" t="s">
        <v>512</v>
      </c>
      <c r="D91" s="282" t="s">
        <v>343</v>
      </c>
      <c r="E91" s="97"/>
      <c r="F91" s="97"/>
      <c r="G91" s="97"/>
      <c r="H91" s="97"/>
      <c r="I91" s="97"/>
      <c r="J91" s="97">
        <f aca="true" t="shared" si="17" ref="J91:O91">J92+J93</f>
        <v>1135725</v>
      </c>
      <c r="K91" s="97">
        <f t="shared" si="17"/>
        <v>1135725</v>
      </c>
      <c r="L91" s="97">
        <f t="shared" si="17"/>
        <v>0</v>
      </c>
      <c r="M91" s="97">
        <f t="shared" si="17"/>
        <v>0</v>
      </c>
      <c r="N91" s="97">
        <f t="shared" si="17"/>
        <v>0</v>
      </c>
      <c r="O91" s="97">
        <f t="shared" si="17"/>
        <v>1135725</v>
      </c>
      <c r="P91" s="92">
        <f t="shared" si="16"/>
        <v>1135725</v>
      </c>
    </row>
    <row r="92" spans="1:16" ht="24" hidden="1">
      <c r="A92" s="80"/>
      <c r="B92" s="80"/>
      <c r="C92" s="80"/>
      <c r="D92" s="69" t="s">
        <v>344</v>
      </c>
      <c r="E92" s="97"/>
      <c r="F92" s="97"/>
      <c r="G92" s="97"/>
      <c r="H92" s="97"/>
      <c r="I92" s="97"/>
      <c r="J92" s="91">
        <f t="shared" si="4"/>
        <v>795007</v>
      </c>
      <c r="K92" s="97">
        <v>795007</v>
      </c>
      <c r="L92" s="97"/>
      <c r="M92" s="97"/>
      <c r="N92" s="97"/>
      <c r="O92" s="91">
        <f t="shared" si="5"/>
        <v>795007</v>
      </c>
      <c r="P92" s="92">
        <f t="shared" si="16"/>
        <v>795007</v>
      </c>
    </row>
    <row r="93" spans="1:16" ht="24" hidden="1">
      <c r="A93" s="80"/>
      <c r="B93" s="80"/>
      <c r="C93" s="80"/>
      <c r="D93" s="69" t="s">
        <v>416</v>
      </c>
      <c r="E93" s="97"/>
      <c r="F93" s="97"/>
      <c r="G93" s="97"/>
      <c r="H93" s="97"/>
      <c r="I93" s="97"/>
      <c r="J93" s="91">
        <f t="shared" si="4"/>
        <v>340718</v>
      </c>
      <c r="K93" s="97">
        <v>340718</v>
      </c>
      <c r="L93" s="97"/>
      <c r="M93" s="97"/>
      <c r="N93" s="97"/>
      <c r="O93" s="91">
        <f t="shared" si="5"/>
        <v>340718</v>
      </c>
      <c r="P93" s="92">
        <f t="shared" si="16"/>
        <v>340718</v>
      </c>
    </row>
    <row r="94" spans="1:16" ht="48">
      <c r="A94" s="80" t="s">
        <v>731</v>
      </c>
      <c r="B94" s="80" t="s">
        <v>732</v>
      </c>
      <c r="C94" s="80" t="s">
        <v>733</v>
      </c>
      <c r="D94" s="69" t="s">
        <v>734</v>
      </c>
      <c r="E94" s="97">
        <f>F94</f>
        <v>2880</v>
      </c>
      <c r="F94" s="97">
        <v>2880</v>
      </c>
      <c r="G94" s="97">
        <v>2880</v>
      </c>
      <c r="H94" s="97"/>
      <c r="I94" s="97"/>
      <c r="J94" s="97"/>
      <c r="K94" s="97"/>
      <c r="L94" s="97"/>
      <c r="M94" s="97"/>
      <c r="N94" s="97"/>
      <c r="O94" s="97"/>
      <c r="P94" s="98">
        <f t="shared" si="16"/>
        <v>2880</v>
      </c>
    </row>
    <row r="95" spans="1:16" ht="96">
      <c r="A95" s="77" t="s">
        <v>522</v>
      </c>
      <c r="B95" s="77" t="s">
        <v>523</v>
      </c>
      <c r="C95" s="77" t="s">
        <v>524</v>
      </c>
      <c r="D95" s="57" t="s">
        <v>525</v>
      </c>
      <c r="E95" s="91">
        <f t="shared" si="14"/>
        <v>3025040</v>
      </c>
      <c r="F95" s="91">
        <f>2698420+331620-5000</f>
        <v>3025040</v>
      </c>
      <c r="G95" s="91">
        <f>2269819+331620</f>
        <v>2601439</v>
      </c>
      <c r="H95" s="91">
        <v>362470</v>
      </c>
      <c r="I95" s="91"/>
      <c r="J95" s="91">
        <f t="shared" si="4"/>
        <v>10000</v>
      </c>
      <c r="K95" s="91">
        <f>10000</f>
        <v>10000</v>
      </c>
      <c r="L95" s="91"/>
      <c r="M95" s="91"/>
      <c r="N95" s="91"/>
      <c r="O95" s="91">
        <f t="shared" si="5"/>
        <v>10000</v>
      </c>
      <c r="P95" s="92">
        <f t="shared" si="2"/>
        <v>3035040</v>
      </c>
    </row>
    <row r="96" spans="1:16" ht="48.75" thickBot="1">
      <c r="A96" s="79" t="s">
        <v>709</v>
      </c>
      <c r="B96" s="79" t="s">
        <v>710</v>
      </c>
      <c r="C96" s="79" t="s">
        <v>463</v>
      </c>
      <c r="D96" s="70" t="s">
        <v>711</v>
      </c>
      <c r="E96" s="94"/>
      <c r="F96" s="94"/>
      <c r="G96" s="94"/>
      <c r="H96" s="94"/>
      <c r="I96" s="94"/>
      <c r="J96" s="94">
        <f aca="true" t="shared" si="18" ref="J96:O96">J98+J100+J99</f>
        <v>6838358</v>
      </c>
      <c r="K96" s="94">
        <f t="shared" si="18"/>
        <v>6838358</v>
      </c>
      <c r="L96" s="94">
        <f t="shared" si="18"/>
        <v>0</v>
      </c>
      <c r="M96" s="94">
        <f t="shared" si="18"/>
        <v>0</v>
      </c>
      <c r="N96" s="94">
        <f t="shared" si="18"/>
        <v>0</v>
      </c>
      <c r="O96" s="94">
        <f t="shared" si="18"/>
        <v>6838358</v>
      </c>
      <c r="P96" s="93">
        <f t="shared" si="2"/>
        <v>6838358</v>
      </c>
    </row>
    <row r="97" spans="1:16" ht="120" hidden="1">
      <c r="A97" s="82" t="s">
        <v>675</v>
      </c>
      <c r="B97" s="82" t="s">
        <v>676</v>
      </c>
      <c r="C97" s="82" t="s">
        <v>464</v>
      </c>
      <c r="D97" s="67" t="s">
        <v>677</v>
      </c>
      <c r="E97" s="196"/>
      <c r="F97" s="196"/>
      <c r="G97" s="196"/>
      <c r="H97" s="196"/>
      <c r="I97" s="196"/>
      <c r="J97" s="196">
        <f t="shared" si="4"/>
        <v>0</v>
      </c>
      <c r="K97" s="196">
        <f>597771-597771</f>
        <v>0</v>
      </c>
      <c r="L97" s="196"/>
      <c r="M97" s="196"/>
      <c r="N97" s="196"/>
      <c r="O97" s="196">
        <f>K97</f>
        <v>0</v>
      </c>
      <c r="P97" s="197">
        <f t="shared" si="2"/>
        <v>0</v>
      </c>
    </row>
    <row r="98" spans="1:16" ht="24" hidden="1">
      <c r="A98" s="77"/>
      <c r="B98" s="77"/>
      <c r="C98" s="77"/>
      <c r="D98" s="57" t="s">
        <v>148</v>
      </c>
      <c r="E98" s="91"/>
      <c r="F98" s="91"/>
      <c r="G98" s="91"/>
      <c r="H98" s="91"/>
      <c r="I98" s="91"/>
      <c r="J98" s="91">
        <f>O98+L98</f>
        <v>6602717</v>
      </c>
      <c r="K98" s="91">
        <f>458596+3586541+251261+46683+2049486+40989+3313+60000-324323+380986+49185</f>
        <v>6602717</v>
      </c>
      <c r="L98" s="91"/>
      <c r="M98" s="91"/>
      <c r="N98" s="91"/>
      <c r="O98" s="91">
        <f>K98</f>
        <v>6602717</v>
      </c>
      <c r="P98" s="92">
        <f t="shared" si="2"/>
        <v>6602717</v>
      </c>
    </row>
    <row r="99" spans="1:16" ht="24" hidden="1">
      <c r="A99" s="80"/>
      <c r="B99" s="80"/>
      <c r="C99" s="80"/>
      <c r="D99" s="69" t="s">
        <v>345</v>
      </c>
      <c r="E99" s="97"/>
      <c r="F99" s="97"/>
      <c r="G99" s="97"/>
      <c r="H99" s="97"/>
      <c r="I99" s="97"/>
      <c r="J99" s="91">
        <f>O99+L99</f>
        <v>140000</v>
      </c>
      <c r="K99" s="97">
        <v>140000</v>
      </c>
      <c r="L99" s="97"/>
      <c r="M99" s="97"/>
      <c r="N99" s="97"/>
      <c r="O99" s="91">
        <f>K99</f>
        <v>140000</v>
      </c>
      <c r="P99" s="92">
        <f t="shared" si="2"/>
        <v>140000</v>
      </c>
    </row>
    <row r="100" spans="1:16" ht="144.75" hidden="1" thickBot="1">
      <c r="A100" s="79"/>
      <c r="B100" s="79"/>
      <c r="C100" s="79"/>
      <c r="D100" s="70" t="s">
        <v>149</v>
      </c>
      <c r="E100" s="94"/>
      <c r="F100" s="94"/>
      <c r="G100" s="94"/>
      <c r="H100" s="94"/>
      <c r="I100" s="94"/>
      <c r="J100" s="94">
        <f>O100+L100</f>
        <v>95641</v>
      </c>
      <c r="K100" s="94">
        <f>95641</f>
        <v>95641</v>
      </c>
      <c r="L100" s="94"/>
      <c r="M100" s="94"/>
      <c r="N100" s="94"/>
      <c r="O100" s="94">
        <f>K100</f>
        <v>95641</v>
      </c>
      <c r="P100" s="93">
        <f t="shared" si="2"/>
        <v>95641</v>
      </c>
    </row>
    <row r="101" spans="1:16" s="15" customFormat="1" ht="125.25" customHeight="1">
      <c r="A101" s="75" t="s">
        <v>526</v>
      </c>
      <c r="B101" s="75"/>
      <c r="C101" s="75"/>
      <c r="D101" s="54" t="s">
        <v>527</v>
      </c>
      <c r="E101" s="95">
        <f aca="true" t="shared" si="19" ref="E101:N101">E102</f>
        <v>23319936</v>
      </c>
      <c r="F101" s="95">
        <f t="shared" si="19"/>
        <v>23319936</v>
      </c>
      <c r="G101" s="95">
        <f t="shared" si="19"/>
        <v>16753978</v>
      </c>
      <c r="H101" s="95">
        <f t="shared" si="19"/>
        <v>711081</v>
      </c>
      <c r="I101" s="95">
        <f t="shared" si="19"/>
        <v>0</v>
      </c>
      <c r="J101" s="95">
        <f t="shared" si="19"/>
        <v>110860</v>
      </c>
      <c r="K101" s="95">
        <f t="shared" si="19"/>
        <v>51460</v>
      </c>
      <c r="L101" s="95">
        <f t="shared" si="19"/>
        <v>59400</v>
      </c>
      <c r="M101" s="95">
        <f t="shared" si="19"/>
        <v>0</v>
      </c>
      <c r="N101" s="95">
        <f t="shared" si="19"/>
        <v>6588</v>
      </c>
      <c r="O101" s="95">
        <f t="shared" si="5"/>
        <v>51460</v>
      </c>
      <c r="P101" s="89">
        <f t="shared" si="2"/>
        <v>23430796</v>
      </c>
    </row>
    <row r="102" spans="1:16" s="15" customFormat="1" ht="128.25" customHeight="1">
      <c r="A102" s="76" t="s">
        <v>528</v>
      </c>
      <c r="B102" s="76"/>
      <c r="C102" s="76"/>
      <c r="D102" s="55" t="s">
        <v>527</v>
      </c>
      <c r="E102" s="99">
        <f aca="true" t="shared" si="20" ref="E102:N102">SUM(E103:E121)</f>
        <v>23319936</v>
      </c>
      <c r="F102" s="99">
        <f t="shared" si="20"/>
        <v>23319936</v>
      </c>
      <c r="G102" s="99">
        <f t="shared" si="20"/>
        <v>16753978</v>
      </c>
      <c r="H102" s="99">
        <f t="shared" si="20"/>
        <v>711081</v>
      </c>
      <c r="I102" s="191">
        <f t="shared" si="20"/>
        <v>0</v>
      </c>
      <c r="J102" s="99">
        <f t="shared" si="20"/>
        <v>110860</v>
      </c>
      <c r="K102" s="99">
        <f t="shared" si="20"/>
        <v>51460</v>
      </c>
      <c r="L102" s="99">
        <f t="shared" si="20"/>
        <v>59400</v>
      </c>
      <c r="M102" s="99">
        <f t="shared" si="20"/>
        <v>0</v>
      </c>
      <c r="N102" s="99">
        <f t="shared" si="20"/>
        <v>6588</v>
      </c>
      <c r="O102" s="99">
        <f t="shared" si="5"/>
        <v>51460</v>
      </c>
      <c r="P102" s="90">
        <f t="shared" si="2"/>
        <v>23430796</v>
      </c>
    </row>
    <row r="103" spans="1:16" ht="120">
      <c r="A103" s="77" t="s">
        <v>529</v>
      </c>
      <c r="B103" s="77" t="s">
        <v>494</v>
      </c>
      <c r="C103" s="77" t="s">
        <v>399</v>
      </c>
      <c r="D103" s="57" t="s">
        <v>495</v>
      </c>
      <c r="E103" s="91">
        <f aca="true" t="shared" si="21" ref="E103:E121">F103</f>
        <v>10965300</v>
      </c>
      <c r="F103" s="91">
        <f>10545242-4977+425035</f>
        <v>10965300</v>
      </c>
      <c r="G103" s="91">
        <f>10090886+425035</f>
        <v>10515921</v>
      </c>
      <c r="H103" s="91">
        <f>248614-4977</f>
        <v>243637</v>
      </c>
      <c r="I103" s="91"/>
      <c r="J103" s="91">
        <f t="shared" si="4"/>
        <v>0</v>
      </c>
      <c r="K103" s="91"/>
      <c r="L103" s="91"/>
      <c r="M103" s="91"/>
      <c r="N103" s="91"/>
      <c r="O103" s="91">
        <f t="shared" si="5"/>
        <v>0</v>
      </c>
      <c r="P103" s="92">
        <f t="shared" si="2"/>
        <v>10965300</v>
      </c>
    </row>
    <row r="104" spans="1:16" ht="96">
      <c r="A104" s="77" t="s">
        <v>639</v>
      </c>
      <c r="B104" s="77" t="s">
        <v>640</v>
      </c>
      <c r="C104" s="81" t="s">
        <v>433</v>
      </c>
      <c r="D104" s="56" t="s">
        <v>641</v>
      </c>
      <c r="E104" s="91">
        <f t="shared" si="21"/>
        <v>22260</v>
      </c>
      <c r="F104" s="91">
        <v>22260</v>
      </c>
      <c r="G104" s="91"/>
      <c r="H104" s="91"/>
      <c r="I104" s="91"/>
      <c r="J104" s="91">
        <f t="shared" si="4"/>
        <v>0</v>
      </c>
      <c r="K104" s="91"/>
      <c r="L104" s="91"/>
      <c r="M104" s="91"/>
      <c r="N104" s="91"/>
      <c r="O104" s="91">
        <f t="shared" si="5"/>
        <v>0</v>
      </c>
      <c r="P104" s="92">
        <f t="shared" si="2"/>
        <v>22260</v>
      </c>
    </row>
    <row r="105" spans="1:16" ht="72">
      <c r="A105" s="77" t="s">
        <v>642</v>
      </c>
      <c r="B105" s="77" t="s">
        <v>643</v>
      </c>
      <c r="C105" s="81" t="s">
        <v>644</v>
      </c>
      <c r="D105" s="56" t="s">
        <v>645</v>
      </c>
      <c r="E105" s="91">
        <f t="shared" si="21"/>
        <v>155360</v>
      </c>
      <c r="F105" s="91">
        <v>155360</v>
      </c>
      <c r="G105" s="91"/>
      <c r="H105" s="91"/>
      <c r="I105" s="91"/>
      <c r="J105" s="91">
        <f t="shared" si="4"/>
        <v>0</v>
      </c>
      <c r="K105" s="91"/>
      <c r="L105" s="91"/>
      <c r="M105" s="91"/>
      <c r="N105" s="91"/>
      <c r="O105" s="91">
        <f t="shared" si="5"/>
        <v>0</v>
      </c>
      <c r="P105" s="92">
        <f t="shared" si="2"/>
        <v>155360</v>
      </c>
    </row>
    <row r="106" spans="1:16" ht="120">
      <c r="A106" s="77" t="s">
        <v>646</v>
      </c>
      <c r="B106" s="77" t="s">
        <v>647</v>
      </c>
      <c r="C106" s="81" t="s">
        <v>644</v>
      </c>
      <c r="D106" s="56" t="s">
        <v>648</v>
      </c>
      <c r="E106" s="91">
        <f t="shared" si="21"/>
        <v>2350000</v>
      </c>
      <c r="F106" s="91">
        <f>2800000-450000</f>
        <v>2350000</v>
      </c>
      <c r="G106" s="91"/>
      <c r="H106" s="91"/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"/>
        <v>2350000</v>
      </c>
    </row>
    <row r="107" spans="1:16" ht="96">
      <c r="A107" s="80" t="s">
        <v>649</v>
      </c>
      <c r="B107" s="80" t="s">
        <v>650</v>
      </c>
      <c r="C107" s="80" t="s">
        <v>644</v>
      </c>
      <c r="D107" s="71" t="s">
        <v>651</v>
      </c>
      <c r="E107" s="91">
        <f t="shared" si="21"/>
        <v>153000</v>
      </c>
      <c r="F107" s="91">
        <v>153000</v>
      </c>
      <c r="G107" s="91"/>
      <c r="H107" s="91"/>
      <c r="I107" s="91"/>
      <c r="J107" s="91">
        <f t="shared" si="4"/>
        <v>0</v>
      </c>
      <c r="K107" s="91"/>
      <c r="L107" s="91"/>
      <c r="M107" s="91"/>
      <c r="N107" s="91"/>
      <c r="O107" s="91">
        <f t="shared" si="5"/>
        <v>0</v>
      </c>
      <c r="P107" s="92">
        <f t="shared" si="2"/>
        <v>153000</v>
      </c>
    </row>
    <row r="108" spans="1:16" ht="96">
      <c r="A108" s="77" t="s">
        <v>692</v>
      </c>
      <c r="B108" s="77" t="s">
        <v>693</v>
      </c>
      <c r="C108" s="77" t="s">
        <v>644</v>
      </c>
      <c r="D108" s="57" t="s">
        <v>694</v>
      </c>
      <c r="E108" s="91">
        <f t="shared" si="21"/>
        <v>81050</v>
      </c>
      <c r="F108" s="91">
        <v>81050</v>
      </c>
      <c r="G108" s="91"/>
      <c r="H108" s="91"/>
      <c r="I108" s="91"/>
      <c r="J108" s="91"/>
      <c r="K108" s="91"/>
      <c r="L108" s="91"/>
      <c r="M108" s="91"/>
      <c r="N108" s="91"/>
      <c r="O108" s="91"/>
      <c r="P108" s="92">
        <f t="shared" si="2"/>
        <v>81050</v>
      </c>
    </row>
    <row r="109" spans="1:16" ht="96">
      <c r="A109" s="77" t="s">
        <v>695</v>
      </c>
      <c r="B109" s="77" t="s">
        <v>696</v>
      </c>
      <c r="C109" s="77" t="s">
        <v>433</v>
      </c>
      <c r="D109" s="57" t="s">
        <v>697</v>
      </c>
      <c r="E109" s="91">
        <f t="shared" si="21"/>
        <v>65950</v>
      </c>
      <c r="F109" s="91">
        <v>65950</v>
      </c>
      <c r="G109" s="91"/>
      <c r="H109" s="91"/>
      <c r="I109" s="91"/>
      <c r="J109" s="91"/>
      <c r="K109" s="91"/>
      <c r="L109" s="91"/>
      <c r="M109" s="91"/>
      <c r="N109" s="91"/>
      <c r="O109" s="91"/>
      <c r="P109" s="92">
        <f>E109+J109</f>
        <v>65950</v>
      </c>
    </row>
    <row r="110" spans="1:16" ht="168">
      <c r="A110" s="77" t="s">
        <v>530</v>
      </c>
      <c r="B110" s="77" t="s">
        <v>531</v>
      </c>
      <c r="C110" s="77" t="s">
        <v>501</v>
      </c>
      <c r="D110" s="57" t="s">
        <v>532</v>
      </c>
      <c r="E110" s="91">
        <f t="shared" si="21"/>
        <v>4493152</v>
      </c>
      <c r="F110" s="91">
        <f>4383186+7112+2983+49962+49909</f>
        <v>4493152</v>
      </c>
      <c r="G110" s="91">
        <v>4147907</v>
      </c>
      <c r="H110" s="91">
        <v>230279</v>
      </c>
      <c r="I110" s="91"/>
      <c r="J110" s="91">
        <f t="shared" si="4"/>
        <v>59400</v>
      </c>
      <c r="K110" s="91"/>
      <c r="L110" s="91">
        <v>59400</v>
      </c>
      <c r="M110" s="91"/>
      <c r="N110" s="91">
        <v>6588</v>
      </c>
      <c r="O110" s="91">
        <f t="shared" si="5"/>
        <v>0</v>
      </c>
      <c r="P110" s="92">
        <f aca="true" t="shared" si="22" ref="P110:P184">E110+J110</f>
        <v>4552552</v>
      </c>
    </row>
    <row r="111" spans="1:16" ht="96">
      <c r="A111" s="77" t="s">
        <v>533</v>
      </c>
      <c r="B111" s="77" t="s">
        <v>534</v>
      </c>
      <c r="C111" s="77" t="s">
        <v>497</v>
      </c>
      <c r="D111" s="57" t="s">
        <v>535</v>
      </c>
      <c r="E111" s="91">
        <f t="shared" si="21"/>
        <v>1857265</v>
      </c>
      <c r="F111" s="91">
        <f>1855735+1530</f>
        <v>1857265</v>
      </c>
      <c r="G111" s="91">
        <v>1519206</v>
      </c>
      <c r="H111" s="91">
        <v>210332</v>
      </c>
      <c r="I111" s="91"/>
      <c r="J111" s="91">
        <f t="shared" si="4"/>
        <v>0</v>
      </c>
      <c r="K111" s="91"/>
      <c r="L111" s="91"/>
      <c r="M111" s="91"/>
      <c r="N111" s="91"/>
      <c r="O111" s="91">
        <f t="shared" si="5"/>
        <v>0</v>
      </c>
      <c r="P111" s="92">
        <f t="shared" si="22"/>
        <v>1857265</v>
      </c>
    </row>
    <row r="112" spans="1:16" ht="96">
      <c r="A112" s="77" t="s">
        <v>536</v>
      </c>
      <c r="B112" s="77" t="s">
        <v>537</v>
      </c>
      <c r="C112" s="77" t="s">
        <v>429</v>
      </c>
      <c r="D112" s="57" t="s">
        <v>538</v>
      </c>
      <c r="E112" s="91">
        <f t="shared" si="21"/>
        <v>637299</v>
      </c>
      <c r="F112" s="91">
        <f>605597+15045+16657</f>
        <v>637299</v>
      </c>
      <c r="G112" s="91">
        <v>559424</v>
      </c>
      <c r="H112" s="91">
        <v>26833</v>
      </c>
      <c r="I112" s="91"/>
      <c r="J112" s="91">
        <f aca="true" t="shared" si="23" ref="J112:J183">L112+O112</f>
        <v>0</v>
      </c>
      <c r="K112" s="91"/>
      <c r="L112" s="91"/>
      <c r="M112" s="91"/>
      <c r="N112" s="91"/>
      <c r="O112" s="91">
        <f aca="true" t="shared" si="24" ref="O112:O183">K112</f>
        <v>0</v>
      </c>
      <c r="P112" s="92">
        <f t="shared" si="22"/>
        <v>637299</v>
      </c>
    </row>
    <row r="113" spans="1:16" ht="48">
      <c r="A113" s="77" t="s">
        <v>539</v>
      </c>
      <c r="B113" s="77" t="s">
        <v>540</v>
      </c>
      <c r="C113" s="77" t="s">
        <v>429</v>
      </c>
      <c r="D113" s="57" t="s">
        <v>541</v>
      </c>
      <c r="E113" s="91">
        <f t="shared" si="21"/>
        <v>5000</v>
      </c>
      <c r="F113" s="91">
        <v>5000</v>
      </c>
      <c r="G113" s="91"/>
      <c r="H113" s="91"/>
      <c r="I113" s="91"/>
      <c r="J113" s="91">
        <f t="shared" si="23"/>
        <v>0</v>
      </c>
      <c r="K113" s="91"/>
      <c r="L113" s="91"/>
      <c r="M113" s="91"/>
      <c r="N113" s="91"/>
      <c r="O113" s="91">
        <f t="shared" si="24"/>
        <v>0</v>
      </c>
      <c r="P113" s="92">
        <f t="shared" si="22"/>
        <v>5000</v>
      </c>
    </row>
    <row r="114" spans="1:16" ht="264">
      <c r="A114" s="77" t="s">
        <v>652</v>
      </c>
      <c r="B114" s="77" t="s">
        <v>653</v>
      </c>
      <c r="C114" s="77" t="s">
        <v>497</v>
      </c>
      <c r="D114" s="57" t="s">
        <v>654</v>
      </c>
      <c r="E114" s="91">
        <f t="shared" si="21"/>
        <v>606834</v>
      </c>
      <c r="F114" s="91">
        <v>606834</v>
      </c>
      <c r="G114" s="91"/>
      <c r="H114" s="91"/>
      <c r="I114" s="91"/>
      <c r="J114" s="91">
        <f t="shared" si="23"/>
        <v>0</v>
      </c>
      <c r="K114" s="91"/>
      <c r="L114" s="91"/>
      <c r="M114" s="91"/>
      <c r="N114" s="91"/>
      <c r="O114" s="91">
        <f t="shared" si="24"/>
        <v>0</v>
      </c>
      <c r="P114" s="92">
        <f t="shared" si="22"/>
        <v>606834</v>
      </c>
    </row>
    <row r="115" spans="1:16" ht="216">
      <c r="A115" s="82" t="s">
        <v>655</v>
      </c>
      <c r="B115" s="82" t="s">
        <v>656</v>
      </c>
      <c r="C115" s="82" t="s">
        <v>657</v>
      </c>
      <c r="D115" s="61" t="s">
        <v>658</v>
      </c>
      <c r="E115" s="91">
        <f t="shared" si="21"/>
        <v>310166</v>
      </c>
      <c r="F115" s="91">
        <v>310166</v>
      </c>
      <c r="G115" s="91"/>
      <c r="H115" s="91"/>
      <c r="I115" s="91"/>
      <c r="J115" s="91">
        <f t="shared" si="23"/>
        <v>0</v>
      </c>
      <c r="K115" s="91"/>
      <c r="L115" s="91"/>
      <c r="M115" s="91"/>
      <c r="N115" s="91"/>
      <c r="O115" s="91">
        <f t="shared" si="24"/>
        <v>0</v>
      </c>
      <c r="P115" s="92">
        <f t="shared" si="22"/>
        <v>310166</v>
      </c>
    </row>
    <row r="116" spans="1:16" ht="72">
      <c r="A116" s="77" t="s">
        <v>659</v>
      </c>
      <c r="B116" s="77" t="s">
        <v>432</v>
      </c>
      <c r="C116" s="77" t="s">
        <v>433</v>
      </c>
      <c r="D116" s="57" t="s">
        <v>434</v>
      </c>
      <c r="E116" s="91">
        <f t="shared" si="21"/>
        <v>303324</v>
      </c>
      <c r="F116" s="91">
        <f>253324+50000</f>
        <v>303324</v>
      </c>
      <c r="G116" s="91"/>
      <c r="H116" s="91"/>
      <c r="I116" s="91"/>
      <c r="J116" s="91">
        <f t="shared" si="23"/>
        <v>0</v>
      </c>
      <c r="K116" s="91"/>
      <c r="L116" s="91"/>
      <c r="M116" s="91"/>
      <c r="N116" s="91"/>
      <c r="O116" s="91">
        <f t="shared" si="24"/>
        <v>0</v>
      </c>
      <c r="P116" s="92">
        <f t="shared" si="22"/>
        <v>303324</v>
      </c>
    </row>
    <row r="117" spans="1:16" ht="144">
      <c r="A117" s="77" t="s">
        <v>660</v>
      </c>
      <c r="B117" s="77" t="s">
        <v>661</v>
      </c>
      <c r="C117" s="77" t="s">
        <v>433</v>
      </c>
      <c r="D117" s="57" t="s">
        <v>662</v>
      </c>
      <c r="E117" s="91">
        <f t="shared" si="21"/>
        <v>477378</v>
      </c>
      <c r="F117" s="91">
        <f>300000+100000+13958+63420</f>
        <v>477378</v>
      </c>
      <c r="G117" s="91"/>
      <c r="H117" s="91"/>
      <c r="I117" s="91"/>
      <c r="J117" s="91">
        <f t="shared" si="23"/>
        <v>0</v>
      </c>
      <c r="K117" s="91"/>
      <c r="L117" s="91"/>
      <c r="M117" s="91"/>
      <c r="N117" s="91"/>
      <c r="O117" s="91">
        <f t="shared" si="24"/>
        <v>0</v>
      </c>
      <c r="P117" s="92">
        <f t="shared" si="22"/>
        <v>477378</v>
      </c>
    </row>
    <row r="118" spans="1:16" ht="48">
      <c r="A118" s="80" t="s">
        <v>755</v>
      </c>
      <c r="B118" s="80" t="s">
        <v>732</v>
      </c>
      <c r="C118" s="80" t="s">
        <v>733</v>
      </c>
      <c r="D118" s="69" t="s">
        <v>734</v>
      </c>
      <c r="E118" s="91">
        <f t="shared" si="21"/>
        <v>11520</v>
      </c>
      <c r="F118" s="91">
        <v>11520</v>
      </c>
      <c r="G118" s="91">
        <v>11520</v>
      </c>
      <c r="H118" s="91"/>
      <c r="I118" s="91"/>
      <c r="J118" s="91"/>
      <c r="K118" s="91"/>
      <c r="L118" s="91"/>
      <c r="M118" s="91"/>
      <c r="N118" s="91"/>
      <c r="O118" s="91"/>
      <c r="P118" s="92">
        <f t="shared" si="22"/>
        <v>11520</v>
      </c>
    </row>
    <row r="119" spans="1:16" ht="72">
      <c r="A119" s="80" t="s">
        <v>663</v>
      </c>
      <c r="B119" s="80" t="s">
        <v>436</v>
      </c>
      <c r="C119" s="80" t="s">
        <v>437</v>
      </c>
      <c r="D119" s="69" t="s">
        <v>438</v>
      </c>
      <c r="E119" s="91">
        <f t="shared" si="21"/>
        <v>789380</v>
      </c>
      <c r="F119" s="91">
        <v>789380</v>
      </c>
      <c r="G119" s="91"/>
      <c r="H119" s="91"/>
      <c r="I119" s="91"/>
      <c r="J119" s="91">
        <f t="shared" si="23"/>
        <v>0</v>
      </c>
      <c r="K119" s="91"/>
      <c r="L119" s="91"/>
      <c r="M119" s="91"/>
      <c r="N119" s="91"/>
      <c r="O119" s="91">
        <f t="shared" si="24"/>
        <v>0</v>
      </c>
      <c r="P119" s="92">
        <f t="shared" si="22"/>
        <v>789380</v>
      </c>
    </row>
    <row r="120" spans="1:16" ht="48">
      <c r="A120" s="80" t="s">
        <v>754</v>
      </c>
      <c r="B120" s="80" t="s">
        <v>621</v>
      </c>
      <c r="C120" s="80" t="s">
        <v>463</v>
      </c>
      <c r="D120" s="69" t="s">
        <v>703</v>
      </c>
      <c r="E120" s="97"/>
      <c r="F120" s="97"/>
      <c r="G120" s="97"/>
      <c r="H120" s="97"/>
      <c r="I120" s="97"/>
      <c r="J120" s="91">
        <f t="shared" si="23"/>
        <v>51460</v>
      </c>
      <c r="K120" s="97">
        <f>51460</f>
        <v>51460</v>
      </c>
      <c r="L120" s="97"/>
      <c r="M120" s="97"/>
      <c r="N120" s="97"/>
      <c r="O120" s="91">
        <f t="shared" si="24"/>
        <v>51460</v>
      </c>
      <c r="P120" s="92">
        <f t="shared" si="22"/>
        <v>51460</v>
      </c>
    </row>
    <row r="121" spans="1:16" ht="48.75" thickBot="1">
      <c r="A121" s="79" t="s">
        <v>664</v>
      </c>
      <c r="B121" s="79" t="s">
        <v>473</v>
      </c>
      <c r="C121" s="79" t="s">
        <v>464</v>
      </c>
      <c r="D121" s="70" t="s">
        <v>474</v>
      </c>
      <c r="E121" s="94">
        <f t="shared" si="21"/>
        <v>35698</v>
      </c>
      <c r="F121" s="94">
        <v>35698</v>
      </c>
      <c r="G121" s="94"/>
      <c r="H121" s="94"/>
      <c r="I121" s="94"/>
      <c r="J121" s="94">
        <f t="shared" si="23"/>
        <v>0</v>
      </c>
      <c r="K121" s="94"/>
      <c r="L121" s="94"/>
      <c r="M121" s="94"/>
      <c r="N121" s="94"/>
      <c r="O121" s="94">
        <f t="shared" si="24"/>
        <v>0</v>
      </c>
      <c r="P121" s="93">
        <f t="shared" si="22"/>
        <v>35698</v>
      </c>
    </row>
    <row r="122" spans="1:16" s="15" customFormat="1" ht="69.75">
      <c r="A122" s="75" t="s">
        <v>542</v>
      </c>
      <c r="B122" s="75"/>
      <c r="C122" s="75"/>
      <c r="D122" s="54" t="s">
        <v>543</v>
      </c>
      <c r="E122" s="95">
        <f>E123</f>
        <v>33504588</v>
      </c>
      <c r="F122" s="95">
        <f aca="true" t="shared" si="25" ref="F122:N122">F123</f>
        <v>33504588</v>
      </c>
      <c r="G122" s="95">
        <f t="shared" si="25"/>
        <v>27732368</v>
      </c>
      <c r="H122" s="95">
        <f t="shared" si="25"/>
        <v>3633904</v>
      </c>
      <c r="I122" s="95">
        <f t="shared" si="25"/>
        <v>0</v>
      </c>
      <c r="J122" s="95">
        <f t="shared" si="25"/>
        <v>4134562</v>
      </c>
      <c r="K122" s="95">
        <f t="shared" si="25"/>
        <v>3027217</v>
      </c>
      <c r="L122" s="95">
        <f t="shared" si="25"/>
        <v>1107345</v>
      </c>
      <c r="M122" s="95">
        <f t="shared" si="25"/>
        <v>916905</v>
      </c>
      <c r="N122" s="95">
        <f t="shared" si="25"/>
        <v>18741</v>
      </c>
      <c r="O122" s="95">
        <f t="shared" si="24"/>
        <v>3027217</v>
      </c>
      <c r="P122" s="89">
        <f t="shared" si="22"/>
        <v>37639150</v>
      </c>
    </row>
    <row r="123" spans="1:16" s="15" customFormat="1" ht="69.75">
      <c r="A123" s="75" t="s">
        <v>544</v>
      </c>
      <c r="B123" s="75"/>
      <c r="C123" s="75"/>
      <c r="D123" s="54" t="s">
        <v>543</v>
      </c>
      <c r="E123" s="99">
        <f>SUM(E124:E133)</f>
        <v>33504588</v>
      </c>
      <c r="F123" s="99">
        <f aca="true" t="shared" si="26" ref="F123:N123">SUM(F124:F133)</f>
        <v>33504588</v>
      </c>
      <c r="G123" s="99">
        <f t="shared" si="26"/>
        <v>27732368</v>
      </c>
      <c r="H123" s="99">
        <f t="shared" si="26"/>
        <v>3633904</v>
      </c>
      <c r="I123" s="99">
        <f t="shared" si="26"/>
        <v>0</v>
      </c>
      <c r="J123" s="99">
        <f t="shared" si="26"/>
        <v>4134562</v>
      </c>
      <c r="K123" s="99">
        <f t="shared" si="26"/>
        <v>3027217</v>
      </c>
      <c r="L123" s="99">
        <f t="shared" si="26"/>
        <v>1107345</v>
      </c>
      <c r="M123" s="99">
        <f t="shared" si="26"/>
        <v>916905</v>
      </c>
      <c r="N123" s="99">
        <f t="shared" si="26"/>
        <v>18741</v>
      </c>
      <c r="O123" s="99">
        <f t="shared" si="24"/>
        <v>3027217</v>
      </c>
      <c r="P123" s="90">
        <f t="shared" si="22"/>
        <v>37639150</v>
      </c>
    </row>
    <row r="124" spans="1:16" ht="120">
      <c r="A124" s="77" t="s">
        <v>545</v>
      </c>
      <c r="B124" s="77" t="s">
        <v>494</v>
      </c>
      <c r="C124" s="77" t="s">
        <v>399</v>
      </c>
      <c r="D124" s="57" t="s">
        <v>495</v>
      </c>
      <c r="E124" s="91">
        <f>F124</f>
        <v>859364</v>
      </c>
      <c r="F124" s="91">
        <f>820650+38714</f>
        <v>859364</v>
      </c>
      <c r="G124" s="91">
        <f>784745+38714</f>
        <v>823459</v>
      </c>
      <c r="H124" s="91">
        <v>17505</v>
      </c>
      <c r="I124" s="91"/>
      <c r="J124" s="91">
        <f t="shared" si="23"/>
        <v>0</v>
      </c>
      <c r="K124" s="91"/>
      <c r="L124" s="91"/>
      <c r="M124" s="91"/>
      <c r="N124" s="91"/>
      <c r="O124" s="91">
        <f t="shared" si="24"/>
        <v>0</v>
      </c>
      <c r="P124" s="92">
        <f t="shared" si="22"/>
        <v>859364</v>
      </c>
    </row>
    <row r="125" spans="1:16" ht="48">
      <c r="A125" s="77" t="s">
        <v>546</v>
      </c>
      <c r="B125" s="77" t="s">
        <v>547</v>
      </c>
      <c r="C125" s="77" t="s">
        <v>509</v>
      </c>
      <c r="D125" s="57" t="s">
        <v>708</v>
      </c>
      <c r="E125" s="91">
        <f>F125</f>
        <v>15256109</v>
      </c>
      <c r="F125" s="91">
        <f>15295783-52260+12586</f>
        <v>15256109</v>
      </c>
      <c r="G125" s="91">
        <v>13634760</v>
      </c>
      <c r="H125" s="91">
        <f>1521252+70866-52260</f>
        <v>1539858</v>
      </c>
      <c r="I125" s="91"/>
      <c r="J125" s="91">
        <f t="shared" si="23"/>
        <v>924685</v>
      </c>
      <c r="K125" s="91"/>
      <c r="L125" s="91">
        <v>924685</v>
      </c>
      <c r="M125" s="91">
        <v>898605</v>
      </c>
      <c r="N125" s="91">
        <v>5851</v>
      </c>
      <c r="O125" s="91">
        <f t="shared" si="24"/>
        <v>0</v>
      </c>
      <c r="P125" s="92">
        <f t="shared" si="22"/>
        <v>16180794</v>
      </c>
    </row>
    <row r="126" spans="1:16" ht="48">
      <c r="A126" s="77" t="s">
        <v>548</v>
      </c>
      <c r="B126" s="77" t="s">
        <v>549</v>
      </c>
      <c r="C126" s="77" t="s">
        <v>550</v>
      </c>
      <c r="D126" s="57" t="s">
        <v>551</v>
      </c>
      <c r="E126" s="91">
        <f aca="true" t="shared" si="27" ref="E126:E133">F126</f>
        <v>4733411</v>
      </c>
      <c r="F126" s="91">
        <f>4687744-29863+114843-40000+687</f>
        <v>4733411</v>
      </c>
      <c r="G126" s="91">
        <f>4067055+118170-9969+94288</f>
        <v>4269544</v>
      </c>
      <c r="H126" s="91">
        <f>283262+29236-29863+11835</f>
        <v>294470</v>
      </c>
      <c r="I126" s="91"/>
      <c r="J126" s="91">
        <f t="shared" si="23"/>
        <v>48160</v>
      </c>
      <c r="K126" s="91">
        <f>40000</f>
        <v>40000</v>
      </c>
      <c r="L126" s="91">
        <v>8160</v>
      </c>
      <c r="M126" s="91"/>
      <c r="N126" s="91">
        <v>1370</v>
      </c>
      <c r="O126" s="91">
        <f t="shared" si="24"/>
        <v>40000</v>
      </c>
      <c r="P126" s="92">
        <f t="shared" si="22"/>
        <v>4781571</v>
      </c>
    </row>
    <row r="127" spans="1:16" ht="48">
      <c r="A127" s="77" t="s">
        <v>552</v>
      </c>
      <c r="B127" s="77" t="s">
        <v>553</v>
      </c>
      <c r="C127" s="77" t="s">
        <v>550</v>
      </c>
      <c r="D127" s="57" t="s">
        <v>554</v>
      </c>
      <c r="E127" s="91">
        <f t="shared" si="27"/>
        <v>1331910</v>
      </c>
      <c r="F127" s="91">
        <f>1259549-2738+22561+3440+22739+26359</f>
        <v>1331910</v>
      </c>
      <c r="G127" s="91">
        <f>738354+141385</f>
        <v>879739</v>
      </c>
      <c r="H127" s="91">
        <f>320686-2738</f>
        <v>317948</v>
      </c>
      <c r="I127" s="91"/>
      <c r="J127" s="91">
        <f t="shared" si="23"/>
        <v>14500</v>
      </c>
      <c r="K127" s="91"/>
      <c r="L127" s="91">
        <v>14500</v>
      </c>
      <c r="M127" s="91"/>
      <c r="N127" s="91"/>
      <c r="O127" s="91">
        <f t="shared" si="24"/>
        <v>0</v>
      </c>
      <c r="P127" s="92">
        <f t="shared" si="22"/>
        <v>1346410</v>
      </c>
    </row>
    <row r="128" spans="1:16" ht="134.25" customHeight="1">
      <c r="A128" s="77" t="s">
        <v>555</v>
      </c>
      <c r="B128" s="77" t="s">
        <v>556</v>
      </c>
      <c r="C128" s="77" t="s">
        <v>557</v>
      </c>
      <c r="D128" s="56" t="s">
        <v>558</v>
      </c>
      <c r="E128" s="91">
        <f t="shared" si="27"/>
        <v>8993748</v>
      </c>
      <c r="F128" s="91">
        <f>8222947-11199+682826+19422+33156+46596</f>
        <v>8993748</v>
      </c>
      <c r="G128" s="91">
        <f>6755061+423754</f>
        <v>7178815</v>
      </c>
      <c r="H128" s="91">
        <f>1180634+4828+13025+15467-11199+234527</f>
        <v>1437282</v>
      </c>
      <c r="I128" s="91"/>
      <c r="J128" s="91">
        <f t="shared" si="23"/>
        <v>1035682</v>
      </c>
      <c r="K128" s="91">
        <f>845082+30600</f>
        <v>875682</v>
      </c>
      <c r="L128" s="91">
        <v>160000</v>
      </c>
      <c r="M128" s="91">
        <v>18300</v>
      </c>
      <c r="N128" s="91">
        <v>11520</v>
      </c>
      <c r="O128" s="91">
        <f t="shared" si="24"/>
        <v>875682</v>
      </c>
      <c r="P128" s="92">
        <f t="shared" si="22"/>
        <v>10029430</v>
      </c>
    </row>
    <row r="129" spans="1:16" ht="72">
      <c r="A129" s="82" t="s">
        <v>559</v>
      </c>
      <c r="B129" s="82" t="s">
        <v>560</v>
      </c>
      <c r="C129" s="77" t="s">
        <v>561</v>
      </c>
      <c r="D129" s="67" t="s">
        <v>562</v>
      </c>
      <c r="E129" s="91">
        <f t="shared" si="27"/>
        <v>970918</v>
      </c>
      <c r="F129" s="91">
        <v>970918</v>
      </c>
      <c r="G129" s="91">
        <v>914514</v>
      </c>
      <c r="H129" s="91">
        <v>26841</v>
      </c>
      <c r="I129" s="91"/>
      <c r="J129" s="91">
        <f t="shared" si="23"/>
        <v>0</v>
      </c>
      <c r="K129" s="91"/>
      <c r="L129" s="91"/>
      <c r="M129" s="91"/>
      <c r="N129" s="91"/>
      <c r="O129" s="91">
        <f t="shared" si="24"/>
        <v>0</v>
      </c>
      <c r="P129" s="92">
        <f t="shared" si="22"/>
        <v>970918</v>
      </c>
    </row>
    <row r="130" spans="1:16" ht="48">
      <c r="A130" s="77" t="s">
        <v>563</v>
      </c>
      <c r="B130" s="77" t="s">
        <v>564</v>
      </c>
      <c r="C130" s="83" t="s">
        <v>561</v>
      </c>
      <c r="D130" s="57" t="s">
        <v>565</v>
      </c>
      <c r="E130" s="91">
        <f t="shared" si="27"/>
        <v>1199128</v>
      </c>
      <c r="F130" s="91">
        <f>1250850+47245-49869-49098</f>
        <v>1199128</v>
      </c>
      <c r="G130" s="91">
        <f>43615-12078</f>
        <v>31537</v>
      </c>
      <c r="H130" s="91"/>
      <c r="I130" s="91"/>
      <c r="J130" s="91">
        <f t="shared" si="23"/>
        <v>0</v>
      </c>
      <c r="K130" s="91"/>
      <c r="L130" s="91"/>
      <c r="M130" s="91"/>
      <c r="N130" s="91"/>
      <c r="O130" s="91">
        <f t="shared" si="24"/>
        <v>0</v>
      </c>
      <c r="P130" s="92">
        <f t="shared" si="22"/>
        <v>1199128</v>
      </c>
    </row>
    <row r="131" spans="1:16" ht="48">
      <c r="A131" s="80" t="s">
        <v>735</v>
      </c>
      <c r="B131" s="80" t="s">
        <v>736</v>
      </c>
      <c r="C131" s="107" t="s">
        <v>463</v>
      </c>
      <c r="D131" s="69" t="s">
        <v>737</v>
      </c>
      <c r="E131" s="97"/>
      <c r="F131" s="97"/>
      <c r="G131" s="97"/>
      <c r="H131" s="97"/>
      <c r="I131" s="97"/>
      <c r="J131" s="97">
        <f t="shared" si="23"/>
        <v>1911535</v>
      </c>
      <c r="K131" s="97">
        <f>297892+600000+1013643</f>
        <v>1911535</v>
      </c>
      <c r="L131" s="97"/>
      <c r="M131" s="97"/>
      <c r="N131" s="97"/>
      <c r="O131" s="97">
        <f>K131</f>
        <v>1911535</v>
      </c>
      <c r="P131" s="92">
        <f t="shared" si="22"/>
        <v>1911535</v>
      </c>
    </row>
    <row r="132" spans="1:16" ht="72">
      <c r="A132" s="80" t="s">
        <v>738</v>
      </c>
      <c r="B132" s="80" t="s">
        <v>739</v>
      </c>
      <c r="C132" s="107" t="s">
        <v>463</v>
      </c>
      <c r="D132" s="69" t="s">
        <v>740</v>
      </c>
      <c r="E132" s="97"/>
      <c r="F132" s="97"/>
      <c r="G132" s="97"/>
      <c r="H132" s="97"/>
      <c r="I132" s="97"/>
      <c r="J132" s="97">
        <f t="shared" si="23"/>
        <v>200000</v>
      </c>
      <c r="K132" s="97">
        <f>200000</f>
        <v>200000</v>
      </c>
      <c r="L132" s="97"/>
      <c r="M132" s="97"/>
      <c r="N132" s="97"/>
      <c r="O132" s="97">
        <f>K132</f>
        <v>200000</v>
      </c>
      <c r="P132" s="92">
        <f t="shared" si="22"/>
        <v>200000</v>
      </c>
    </row>
    <row r="133" spans="1:16" ht="48.75" thickBot="1">
      <c r="A133" s="79" t="s">
        <v>566</v>
      </c>
      <c r="B133" s="79" t="s">
        <v>567</v>
      </c>
      <c r="C133" s="79" t="s">
        <v>568</v>
      </c>
      <c r="D133" s="72" t="s">
        <v>569</v>
      </c>
      <c r="E133" s="94">
        <f t="shared" si="27"/>
        <v>160000</v>
      </c>
      <c r="F133" s="94">
        <f>80000+80000</f>
        <v>160000</v>
      </c>
      <c r="G133" s="94"/>
      <c r="H133" s="94"/>
      <c r="I133" s="94"/>
      <c r="J133" s="94">
        <f t="shared" si="23"/>
        <v>0</v>
      </c>
      <c r="K133" s="94"/>
      <c r="L133" s="94"/>
      <c r="M133" s="94"/>
      <c r="N133" s="94"/>
      <c r="O133" s="94">
        <f t="shared" si="24"/>
        <v>0</v>
      </c>
      <c r="P133" s="93">
        <f t="shared" si="22"/>
        <v>160000</v>
      </c>
    </row>
    <row r="134" spans="1:16" s="15" customFormat="1" ht="99.75" customHeight="1">
      <c r="A134" s="188" t="s">
        <v>570</v>
      </c>
      <c r="B134" s="189"/>
      <c r="C134" s="190"/>
      <c r="D134" s="54" t="s">
        <v>571</v>
      </c>
      <c r="E134" s="95">
        <f>E135</f>
        <v>10385372</v>
      </c>
      <c r="F134" s="95">
        <f aca="true" t="shared" si="28" ref="F134:N134">F135</f>
        <v>10385372</v>
      </c>
      <c r="G134" s="95">
        <f t="shared" si="28"/>
        <v>3878264</v>
      </c>
      <c r="H134" s="95">
        <f t="shared" si="28"/>
        <v>72537</v>
      </c>
      <c r="I134" s="95">
        <f t="shared" si="28"/>
        <v>0</v>
      </c>
      <c r="J134" s="95">
        <f t="shared" si="28"/>
        <v>1518302</v>
      </c>
      <c r="K134" s="95">
        <f t="shared" si="28"/>
        <v>1518302</v>
      </c>
      <c r="L134" s="95">
        <f t="shared" si="28"/>
        <v>0</v>
      </c>
      <c r="M134" s="95">
        <f t="shared" si="28"/>
        <v>0</v>
      </c>
      <c r="N134" s="95">
        <f t="shared" si="28"/>
        <v>0</v>
      </c>
      <c r="O134" s="95">
        <f t="shared" si="24"/>
        <v>1518302</v>
      </c>
      <c r="P134" s="89">
        <f t="shared" si="22"/>
        <v>11903674</v>
      </c>
    </row>
    <row r="135" spans="1:16" s="15" customFormat="1" ht="105.75" customHeight="1">
      <c r="A135" s="76" t="s">
        <v>572</v>
      </c>
      <c r="B135" s="76"/>
      <c r="C135" s="76"/>
      <c r="D135" s="55" t="s">
        <v>571</v>
      </c>
      <c r="E135" s="99">
        <f>SUM(E136:E147)</f>
        <v>10385372</v>
      </c>
      <c r="F135" s="99">
        <f aca="true" t="shared" si="29" ref="F135:N135">SUM(F136:F147)</f>
        <v>10385372</v>
      </c>
      <c r="G135" s="99">
        <f t="shared" si="29"/>
        <v>3878264</v>
      </c>
      <c r="H135" s="99">
        <f t="shared" si="29"/>
        <v>72537</v>
      </c>
      <c r="I135" s="99">
        <f t="shared" si="29"/>
        <v>0</v>
      </c>
      <c r="J135" s="99">
        <f t="shared" si="29"/>
        <v>1518302</v>
      </c>
      <c r="K135" s="99">
        <f t="shared" si="29"/>
        <v>1518302</v>
      </c>
      <c r="L135" s="99">
        <f t="shared" si="29"/>
        <v>0</v>
      </c>
      <c r="M135" s="99">
        <f t="shared" si="29"/>
        <v>0</v>
      </c>
      <c r="N135" s="99">
        <f t="shared" si="29"/>
        <v>0</v>
      </c>
      <c r="O135" s="99">
        <f t="shared" si="24"/>
        <v>1518302</v>
      </c>
      <c r="P135" s="90">
        <f t="shared" si="22"/>
        <v>11903674</v>
      </c>
    </row>
    <row r="136" spans="1:16" ht="120">
      <c r="A136" s="77" t="s">
        <v>573</v>
      </c>
      <c r="B136" s="77" t="s">
        <v>494</v>
      </c>
      <c r="C136" s="77" t="s">
        <v>399</v>
      </c>
      <c r="D136" s="57" t="s">
        <v>495</v>
      </c>
      <c r="E136" s="91">
        <f aca="true" t="shared" si="30" ref="E136:E147">F136</f>
        <v>1075061</v>
      </c>
      <c r="F136" s="91">
        <f>1028030+47031</f>
        <v>1075061</v>
      </c>
      <c r="G136" s="91">
        <f>970553+47031</f>
        <v>1017584</v>
      </c>
      <c r="H136" s="91">
        <v>25477</v>
      </c>
      <c r="I136" s="91"/>
      <c r="J136" s="91">
        <f t="shared" si="23"/>
        <v>0</v>
      </c>
      <c r="K136" s="91"/>
      <c r="L136" s="91"/>
      <c r="M136" s="91"/>
      <c r="N136" s="91"/>
      <c r="O136" s="91">
        <f t="shared" si="24"/>
        <v>0</v>
      </c>
      <c r="P136" s="92">
        <f t="shared" si="22"/>
        <v>1075061</v>
      </c>
    </row>
    <row r="137" spans="1:16" ht="48">
      <c r="A137" s="77" t="s">
        <v>574</v>
      </c>
      <c r="B137" s="77" t="s">
        <v>575</v>
      </c>
      <c r="C137" s="77" t="s">
        <v>429</v>
      </c>
      <c r="D137" s="62" t="s">
        <v>576</v>
      </c>
      <c r="E137" s="91">
        <f t="shared" si="30"/>
        <v>100700</v>
      </c>
      <c r="F137" s="91">
        <f>70700+30000</f>
        <v>100700</v>
      </c>
      <c r="G137" s="91"/>
      <c r="H137" s="91"/>
      <c r="I137" s="91"/>
      <c r="J137" s="91">
        <f t="shared" si="23"/>
        <v>0</v>
      </c>
      <c r="K137" s="91"/>
      <c r="L137" s="91"/>
      <c r="M137" s="91"/>
      <c r="N137" s="91"/>
      <c r="O137" s="91">
        <f t="shared" si="24"/>
        <v>0</v>
      </c>
      <c r="P137" s="92">
        <f t="shared" si="22"/>
        <v>100700</v>
      </c>
    </row>
    <row r="138" spans="1:16" ht="216" hidden="1">
      <c r="A138" s="77" t="s">
        <v>577</v>
      </c>
      <c r="B138" s="77" t="s">
        <v>578</v>
      </c>
      <c r="C138" s="77" t="s">
        <v>429</v>
      </c>
      <c r="D138" s="62" t="s">
        <v>579</v>
      </c>
      <c r="E138" s="91">
        <f t="shared" si="30"/>
        <v>0</v>
      </c>
      <c r="F138" s="91">
        <f>361200-361200</f>
        <v>0</v>
      </c>
      <c r="G138" s="91"/>
      <c r="H138" s="91"/>
      <c r="I138" s="91"/>
      <c r="J138" s="91">
        <f t="shared" si="23"/>
        <v>0</v>
      </c>
      <c r="K138" s="91"/>
      <c r="L138" s="91"/>
      <c r="M138" s="91"/>
      <c r="N138" s="91"/>
      <c r="O138" s="91">
        <f t="shared" si="24"/>
        <v>0</v>
      </c>
      <c r="P138" s="92">
        <f t="shared" si="22"/>
        <v>0</v>
      </c>
    </row>
    <row r="139" spans="1:16" ht="48">
      <c r="A139" s="77" t="s">
        <v>756</v>
      </c>
      <c r="B139" s="77" t="s">
        <v>732</v>
      </c>
      <c r="C139" s="77" t="s">
        <v>733</v>
      </c>
      <c r="D139" s="62" t="s">
        <v>734</v>
      </c>
      <c r="E139" s="91">
        <f>F139</f>
        <v>11520</v>
      </c>
      <c r="F139" s="91">
        <v>11520</v>
      </c>
      <c r="G139" s="91"/>
      <c r="H139" s="91"/>
      <c r="I139" s="91"/>
      <c r="J139" s="91"/>
      <c r="K139" s="91"/>
      <c r="L139" s="91"/>
      <c r="M139" s="91"/>
      <c r="N139" s="91"/>
      <c r="O139" s="91"/>
      <c r="P139" s="92">
        <f t="shared" si="22"/>
        <v>11520</v>
      </c>
    </row>
    <row r="140" spans="1:16" ht="96">
      <c r="A140" s="77" t="s">
        <v>580</v>
      </c>
      <c r="B140" s="77" t="s">
        <v>581</v>
      </c>
      <c r="C140" s="77" t="s">
        <v>524</v>
      </c>
      <c r="D140" s="57" t="s">
        <v>582</v>
      </c>
      <c r="E140" s="91">
        <f t="shared" si="30"/>
        <v>313685</v>
      </c>
      <c r="F140" s="91">
        <f>440000-73876-2983-2780-42151-4525</f>
        <v>313685</v>
      </c>
      <c r="G140" s="91"/>
      <c r="H140" s="91"/>
      <c r="I140" s="91"/>
      <c r="J140" s="91">
        <f t="shared" si="23"/>
        <v>0</v>
      </c>
      <c r="K140" s="91"/>
      <c r="L140" s="91"/>
      <c r="M140" s="91"/>
      <c r="N140" s="91"/>
      <c r="O140" s="91">
        <f t="shared" si="24"/>
        <v>0</v>
      </c>
      <c r="P140" s="92">
        <f t="shared" si="22"/>
        <v>313685</v>
      </c>
    </row>
    <row r="141" spans="1:16" ht="96">
      <c r="A141" s="77" t="s">
        <v>583</v>
      </c>
      <c r="B141" s="77" t="s">
        <v>523</v>
      </c>
      <c r="C141" s="77" t="s">
        <v>524</v>
      </c>
      <c r="D141" s="57" t="s">
        <v>525</v>
      </c>
      <c r="E141" s="91">
        <f t="shared" si="30"/>
        <v>2732769</v>
      </c>
      <c r="F141" s="91">
        <f>2732769</f>
        <v>2732769</v>
      </c>
      <c r="G141" s="91">
        <f>2253756+391814</f>
        <v>2645570</v>
      </c>
      <c r="H141" s="91">
        <f>42032</f>
        <v>42032</v>
      </c>
      <c r="I141" s="91"/>
      <c r="J141" s="91">
        <f t="shared" si="23"/>
        <v>0</v>
      </c>
      <c r="K141" s="91"/>
      <c r="L141" s="91"/>
      <c r="M141" s="91"/>
      <c r="N141" s="91"/>
      <c r="O141" s="91">
        <f t="shared" si="24"/>
        <v>0</v>
      </c>
      <c r="P141" s="92">
        <f t="shared" si="22"/>
        <v>2732769</v>
      </c>
    </row>
    <row r="142" spans="1:16" ht="72">
      <c r="A142" s="77" t="s">
        <v>584</v>
      </c>
      <c r="B142" s="77" t="s">
        <v>585</v>
      </c>
      <c r="C142" s="77" t="s">
        <v>524</v>
      </c>
      <c r="D142" s="57" t="s">
        <v>586</v>
      </c>
      <c r="E142" s="91">
        <f t="shared" si="30"/>
        <v>4271362</v>
      </c>
      <c r="F142" s="91">
        <f>3651500+85835+199300+73876+49950+12981+183600+14320</f>
        <v>4271362</v>
      </c>
      <c r="G142" s="91"/>
      <c r="H142" s="91"/>
      <c r="I142" s="91"/>
      <c r="J142" s="91">
        <f t="shared" si="23"/>
        <v>0</v>
      </c>
      <c r="K142" s="91"/>
      <c r="L142" s="91"/>
      <c r="M142" s="91"/>
      <c r="N142" s="91"/>
      <c r="O142" s="91">
        <f t="shared" si="24"/>
        <v>0</v>
      </c>
      <c r="P142" s="92">
        <f t="shared" si="22"/>
        <v>4271362</v>
      </c>
    </row>
    <row r="143" spans="1:16" ht="120">
      <c r="A143" s="77" t="s">
        <v>587</v>
      </c>
      <c r="B143" s="77" t="s">
        <v>588</v>
      </c>
      <c r="C143" s="77" t="s">
        <v>524</v>
      </c>
      <c r="D143" s="62" t="s">
        <v>589</v>
      </c>
      <c r="E143" s="91">
        <f t="shared" si="30"/>
        <v>1649750</v>
      </c>
      <c r="F143" s="91">
        <f>1630200+19550</f>
        <v>1649750</v>
      </c>
      <c r="G143" s="91"/>
      <c r="H143" s="91"/>
      <c r="I143" s="91"/>
      <c r="J143" s="91">
        <f t="shared" si="23"/>
        <v>0</v>
      </c>
      <c r="K143" s="91"/>
      <c r="L143" s="91"/>
      <c r="M143" s="91"/>
      <c r="N143" s="91"/>
      <c r="O143" s="91">
        <f t="shared" si="24"/>
        <v>0</v>
      </c>
      <c r="P143" s="92">
        <f t="shared" si="22"/>
        <v>1649750</v>
      </c>
    </row>
    <row r="144" spans="1:16" ht="48">
      <c r="A144" s="77" t="s">
        <v>590</v>
      </c>
      <c r="B144" s="77" t="s">
        <v>591</v>
      </c>
      <c r="C144" s="77" t="s">
        <v>524</v>
      </c>
      <c r="D144" s="62" t="s">
        <v>592</v>
      </c>
      <c r="E144" s="91">
        <f t="shared" si="30"/>
        <v>226000</v>
      </c>
      <c r="F144" s="91">
        <v>226000</v>
      </c>
      <c r="G144" s="91">
        <v>215110</v>
      </c>
      <c r="H144" s="91">
        <v>5028</v>
      </c>
      <c r="I144" s="91"/>
      <c r="J144" s="91">
        <f t="shared" si="23"/>
        <v>0</v>
      </c>
      <c r="K144" s="91"/>
      <c r="L144" s="91"/>
      <c r="M144" s="91"/>
      <c r="N144" s="91"/>
      <c r="O144" s="91">
        <f t="shared" si="24"/>
        <v>0</v>
      </c>
      <c r="P144" s="92">
        <f t="shared" si="22"/>
        <v>226000</v>
      </c>
    </row>
    <row r="145" spans="1:16" ht="72">
      <c r="A145" s="80" t="s">
        <v>712</v>
      </c>
      <c r="B145" s="80" t="s">
        <v>713</v>
      </c>
      <c r="C145" s="77" t="s">
        <v>463</v>
      </c>
      <c r="D145" s="62" t="s">
        <v>714</v>
      </c>
      <c r="E145" s="97"/>
      <c r="F145" s="97"/>
      <c r="G145" s="97"/>
      <c r="H145" s="97"/>
      <c r="I145" s="97"/>
      <c r="J145" s="97">
        <f t="shared" si="23"/>
        <v>625504</v>
      </c>
      <c r="K145" s="97">
        <f>575498+50006</f>
        <v>625504</v>
      </c>
      <c r="L145" s="97"/>
      <c r="M145" s="97"/>
      <c r="N145" s="97"/>
      <c r="O145" s="97">
        <f>K145</f>
        <v>625504</v>
      </c>
      <c r="P145" s="92">
        <f t="shared" si="22"/>
        <v>625504</v>
      </c>
    </row>
    <row r="146" spans="1:16" ht="120">
      <c r="A146" s="77" t="s">
        <v>704</v>
      </c>
      <c r="B146" s="77" t="s">
        <v>676</v>
      </c>
      <c r="C146" s="77" t="s">
        <v>464</v>
      </c>
      <c r="D146" s="57" t="s">
        <v>677</v>
      </c>
      <c r="E146" s="91"/>
      <c r="F146" s="91"/>
      <c r="G146" s="91"/>
      <c r="H146" s="91"/>
      <c r="I146" s="91"/>
      <c r="J146" s="91">
        <f t="shared" si="23"/>
        <v>892798</v>
      </c>
      <c r="K146" s="91">
        <f>174734+738383-20319</f>
        <v>892798</v>
      </c>
      <c r="L146" s="91"/>
      <c r="M146" s="91"/>
      <c r="N146" s="91"/>
      <c r="O146" s="91">
        <f>K146</f>
        <v>892798</v>
      </c>
      <c r="P146" s="92">
        <f t="shared" si="22"/>
        <v>892798</v>
      </c>
    </row>
    <row r="147" spans="1:16" ht="48.75" thickBot="1">
      <c r="A147" s="192" t="s">
        <v>593</v>
      </c>
      <c r="B147" s="192" t="s">
        <v>473</v>
      </c>
      <c r="C147" s="192" t="s">
        <v>464</v>
      </c>
      <c r="D147" s="193" t="s">
        <v>474</v>
      </c>
      <c r="E147" s="194">
        <f t="shared" si="30"/>
        <v>4525</v>
      </c>
      <c r="F147" s="194">
        <v>4525</v>
      </c>
      <c r="G147" s="194"/>
      <c r="H147" s="194"/>
      <c r="I147" s="194"/>
      <c r="J147" s="194">
        <f t="shared" si="23"/>
        <v>0</v>
      </c>
      <c r="K147" s="194"/>
      <c r="L147" s="194"/>
      <c r="M147" s="194"/>
      <c r="N147" s="194"/>
      <c r="O147" s="194">
        <f t="shared" si="24"/>
        <v>0</v>
      </c>
      <c r="P147" s="195">
        <f t="shared" si="22"/>
        <v>4525</v>
      </c>
    </row>
    <row r="148" spans="1:16" s="15" customFormat="1" ht="116.25">
      <c r="A148" s="75" t="s">
        <v>594</v>
      </c>
      <c r="B148" s="75"/>
      <c r="C148" s="75"/>
      <c r="D148" s="73" t="s">
        <v>595</v>
      </c>
      <c r="E148" s="95">
        <f>E149</f>
        <v>1609757</v>
      </c>
      <c r="F148" s="95">
        <f aca="true" t="shared" si="31" ref="F148:N148">F149</f>
        <v>1609757</v>
      </c>
      <c r="G148" s="95">
        <f t="shared" si="31"/>
        <v>1241598</v>
      </c>
      <c r="H148" s="95">
        <f t="shared" si="31"/>
        <v>38432</v>
      </c>
      <c r="I148" s="95">
        <f t="shared" si="31"/>
        <v>0</v>
      </c>
      <c r="J148" s="95">
        <f t="shared" si="31"/>
        <v>22860</v>
      </c>
      <c r="K148" s="95">
        <f t="shared" si="31"/>
        <v>22860</v>
      </c>
      <c r="L148" s="95">
        <f t="shared" si="31"/>
        <v>0</v>
      </c>
      <c r="M148" s="95">
        <f t="shared" si="31"/>
        <v>0</v>
      </c>
      <c r="N148" s="95">
        <f t="shared" si="31"/>
        <v>0</v>
      </c>
      <c r="O148" s="95">
        <f t="shared" si="24"/>
        <v>22860</v>
      </c>
      <c r="P148" s="89">
        <f t="shared" si="22"/>
        <v>1632617</v>
      </c>
    </row>
    <row r="149" spans="1:16" s="15" customFormat="1" ht="116.25">
      <c r="A149" s="75" t="s">
        <v>596</v>
      </c>
      <c r="B149" s="75"/>
      <c r="C149" s="75"/>
      <c r="D149" s="73" t="s">
        <v>595</v>
      </c>
      <c r="E149" s="99">
        <f>E150+E151+E152+E153</f>
        <v>1609757</v>
      </c>
      <c r="F149" s="99">
        <f aca="true" t="shared" si="32" ref="F149:O149">F150+F151+F152+F153</f>
        <v>1609757</v>
      </c>
      <c r="G149" s="99">
        <f t="shared" si="32"/>
        <v>1241598</v>
      </c>
      <c r="H149" s="99">
        <f t="shared" si="32"/>
        <v>38432</v>
      </c>
      <c r="I149" s="99">
        <f t="shared" si="32"/>
        <v>0</v>
      </c>
      <c r="J149" s="99">
        <f t="shared" si="32"/>
        <v>22860</v>
      </c>
      <c r="K149" s="99">
        <f t="shared" si="32"/>
        <v>22860</v>
      </c>
      <c r="L149" s="99">
        <f t="shared" si="32"/>
        <v>0</v>
      </c>
      <c r="M149" s="99">
        <f t="shared" si="32"/>
        <v>0</v>
      </c>
      <c r="N149" s="99">
        <f t="shared" si="32"/>
        <v>0</v>
      </c>
      <c r="O149" s="99">
        <f t="shared" si="32"/>
        <v>22860</v>
      </c>
      <c r="P149" s="90">
        <f t="shared" si="22"/>
        <v>1632617</v>
      </c>
    </row>
    <row r="150" spans="1:16" ht="120">
      <c r="A150" s="80" t="s">
        <v>597</v>
      </c>
      <c r="B150" s="80" t="s">
        <v>494</v>
      </c>
      <c r="C150" s="80" t="s">
        <v>399</v>
      </c>
      <c r="D150" s="69" t="s">
        <v>495</v>
      </c>
      <c r="E150" s="91">
        <f>F150</f>
        <v>1307359</v>
      </c>
      <c r="F150" s="91">
        <f>1250263+57096</f>
        <v>1307359</v>
      </c>
      <c r="G150" s="91">
        <f>1184502+57096</f>
        <v>1241598</v>
      </c>
      <c r="H150" s="91">
        <v>38432</v>
      </c>
      <c r="I150" s="91"/>
      <c r="J150" s="91">
        <f t="shared" si="23"/>
        <v>0</v>
      </c>
      <c r="K150" s="91"/>
      <c r="L150" s="91"/>
      <c r="M150" s="91"/>
      <c r="N150" s="91"/>
      <c r="O150" s="91">
        <f t="shared" si="24"/>
        <v>0</v>
      </c>
      <c r="P150" s="92">
        <f t="shared" si="22"/>
        <v>1307359</v>
      </c>
    </row>
    <row r="151" spans="1:16" ht="72">
      <c r="A151" s="80" t="s">
        <v>758</v>
      </c>
      <c r="B151" s="80" t="s">
        <v>713</v>
      </c>
      <c r="C151" s="80" t="s">
        <v>463</v>
      </c>
      <c r="D151" s="69" t="s">
        <v>714</v>
      </c>
      <c r="E151" s="97"/>
      <c r="F151" s="97"/>
      <c r="G151" s="97"/>
      <c r="H151" s="97"/>
      <c r="I151" s="97"/>
      <c r="J151" s="91">
        <f t="shared" si="23"/>
        <v>22860</v>
      </c>
      <c r="K151" s="97">
        <v>22860</v>
      </c>
      <c r="L151" s="97"/>
      <c r="M151" s="97"/>
      <c r="N151" s="97"/>
      <c r="O151" s="91">
        <f t="shared" si="24"/>
        <v>22860</v>
      </c>
      <c r="P151" s="92">
        <f t="shared" si="22"/>
        <v>22860</v>
      </c>
    </row>
    <row r="152" spans="1:16" ht="120" hidden="1">
      <c r="A152" s="80" t="s">
        <v>757</v>
      </c>
      <c r="B152" s="80" t="s">
        <v>676</v>
      </c>
      <c r="C152" s="80" t="s">
        <v>464</v>
      </c>
      <c r="D152" s="69" t="s">
        <v>677</v>
      </c>
      <c r="E152" s="97"/>
      <c r="F152" s="97"/>
      <c r="G152" s="97"/>
      <c r="H152" s="97"/>
      <c r="I152" s="97"/>
      <c r="J152" s="91">
        <f t="shared" si="23"/>
        <v>0</v>
      </c>
      <c r="K152" s="97">
        <f>1945833+4720834-2000000-1000000-1445833-65146-2155688</f>
        <v>0</v>
      </c>
      <c r="L152" s="97"/>
      <c r="M152" s="97"/>
      <c r="N152" s="97"/>
      <c r="O152" s="91">
        <f t="shared" si="24"/>
        <v>0</v>
      </c>
      <c r="P152" s="92">
        <f t="shared" si="22"/>
        <v>0</v>
      </c>
    </row>
    <row r="153" spans="1:16" ht="48.75" thickBot="1">
      <c r="A153" s="79" t="s">
        <v>598</v>
      </c>
      <c r="B153" s="79" t="s">
        <v>473</v>
      </c>
      <c r="C153" s="79" t="s">
        <v>464</v>
      </c>
      <c r="D153" s="70" t="s">
        <v>474</v>
      </c>
      <c r="E153" s="94">
        <f>F153</f>
        <v>302398</v>
      </c>
      <c r="F153" s="94">
        <v>302398</v>
      </c>
      <c r="G153" s="94"/>
      <c r="H153" s="94"/>
      <c r="I153" s="94"/>
      <c r="J153" s="94">
        <f t="shared" si="23"/>
        <v>0</v>
      </c>
      <c r="K153" s="94"/>
      <c r="L153" s="94"/>
      <c r="M153" s="94"/>
      <c r="N153" s="94"/>
      <c r="O153" s="94">
        <f t="shared" si="24"/>
        <v>0</v>
      </c>
      <c r="P153" s="93">
        <f t="shared" si="22"/>
        <v>302398</v>
      </c>
    </row>
    <row r="154" spans="1:16" s="15" customFormat="1" ht="126.75" customHeight="1">
      <c r="A154" s="75" t="s">
        <v>599</v>
      </c>
      <c r="B154" s="75"/>
      <c r="C154" s="75"/>
      <c r="D154" s="54" t="s">
        <v>600</v>
      </c>
      <c r="E154" s="95">
        <f>E155</f>
        <v>1236347</v>
      </c>
      <c r="F154" s="95">
        <f aca="true" t="shared" si="33" ref="F154:N155">F155</f>
        <v>1236347</v>
      </c>
      <c r="G154" s="95">
        <f t="shared" si="33"/>
        <v>1158854</v>
      </c>
      <c r="H154" s="95">
        <f t="shared" si="33"/>
        <v>43393</v>
      </c>
      <c r="I154" s="95">
        <f t="shared" si="33"/>
        <v>0</v>
      </c>
      <c r="J154" s="95">
        <f t="shared" si="33"/>
        <v>0</v>
      </c>
      <c r="K154" s="95">
        <f t="shared" si="33"/>
        <v>0</v>
      </c>
      <c r="L154" s="95">
        <f t="shared" si="33"/>
        <v>0</v>
      </c>
      <c r="M154" s="95">
        <f t="shared" si="33"/>
        <v>0</v>
      </c>
      <c r="N154" s="95">
        <f t="shared" si="33"/>
        <v>0</v>
      </c>
      <c r="O154" s="95">
        <f t="shared" si="24"/>
        <v>0</v>
      </c>
      <c r="P154" s="89">
        <f t="shared" si="22"/>
        <v>1236347</v>
      </c>
    </row>
    <row r="155" spans="1:16" s="15" customFormat="1" ht="135" customHeight="1">
      <c r="A155" s="75" t="s">
        <v>601</v>
      </c>
      <c r="B155" s="75"/>
      <c r="C155" s="75"/>
      <c r="D155" s="74" t="s">
        <v>600</v>
      </c>
      <c r="E155" s="99">
        <f>E156</f>
        <v>1236347</v>
      </c>
      <c r="F155" s="99">
        <f t="shared" si="33"/>
        <v>1236347</v>
      </c>
      <c r="G155" s="99">
        <f t="shared" si="33"/>
        <v>1158854</v>
      </c>
      <c r="H155" s="99">
        <f t="shared" si="33"/>
        <v>43393</v>
      </c>
      <c r="I155" s="99">
        <f t="shared" si="33"/>
        <v>0</v>
      </c>
      <c r="J155" s="99">
        <f t="shared" si="33"/>
        <v>0</v>
      </c>
      <c r="K155" s="99">
        <f t="shared" si="33"/>
        <v>0</v>
      </c>
      <c r="L155" s="99">
        <f t="shared" si="33"/>
        <v>0</v>
      </c>
      <c r="M155" s="99">
        <f t="shared" si="33"/>
        <v>0</v>
      </c>
      <c r="N155" s="99">
        <f t="shared" si="33"/>
        <v>0</v>
      </c>
      <c r="O155" s="99">
        <f t="shared" si="24"/>
        <v>0</v>
      </c>
      <c r="P155" s="90">
        <f t="shared" si="22"/>
        <v>1236347</v>
      </c>
    </row>
    <row r="156" spans="1:16" ht="120.75" thickBot="1">
      <c r="A156" s="79" t="s">
        <v>602</v>
      </c>
      <c r="B156" s="79" t="s">
        <v>494</v>
      </c>
      <c r="C156" s="79" t="s">
        <v>399</v>
      </c>
      <c r="D156" s="70" t="s">
        <v>603</v>
      </c>
      <c r="E156" s="94">
        <f>F156</f>
        <v>1236347</v>
      </c>
      <c r="F156" s="94">
        <f>1180715+55632</f>
        <v>1236347</v>
      </c>
      <c r="G156" s="94">
        <f>1103222+55632</f>
        <v>1158854</v>
      </c>
      <c r="H156" s="94">
        <v>43393</v>
      </c>
      <c r="I156" s="94"/>
      <c r="J156" s="94">
        <f t="shared" si="23"/>
        <v>0</v>
      </c>
      <c r="K156" s="94"/>
      <c r="L156" s="94"/>
      <c r="M156" s="94"/>
      <c r="N156" s="94"/>
      <c r="O156" s="94">
        <f t="shared" si="24"/>
        <v>0</v>
      </c>
      <c r="P156" s="93">
        <f t="shared" si="22"/>
        <v>1236347</v>
      </c>
    </row>
    <row r="157" spans="1:16" s="15" customFormat="1" ht="156" customHeight="1">
      <c r="A157" s="75" t="s">
        <v>604</v>
      </c>
      <c r="B157" s="75"/>
      <c r="C157" s="75"/>
      <c r="D157" s="73" t="s">
        <v>605</v>
      </c>
      <c r="E157" s="95">
        <f>E158</f>
        <v>3791760</v>
      </c>
      <c r="F157" s="95">
        <f aca="true" t="shared" si="34" ref="F157:N157">F158</f>
        <v>3791760</v>
      </c>
      <c r="G157" s="95">
        <f t="shared" si="34"/>
        <v>2626380</v>
      </c>
      <c r="H157" s="95">
        <f t="shared" si="34"/>
        <v>95037</v>
      </c>
      <c r="I157" s="95">
        <f t="shared" si="34"/>
        <v>0</v>
      </c>
      <c r="J157" s="95">
        <f t="shared" si="34"/>
        <v>1151710</v>
      </c>
      <c r="K157" s="95">
        <f t="shared" si="34"/>
        <v>1151710</v>
      </c>
      <c r="L157" s="95">
        <f t="shared" si="34"/>
        <v>0</v>
      </c>
      <c r="M157" s="95">
        <f t="shared" si="34"/>
        <v>0</v>
      </c>
      <c r="N157" s="95">
        <f t="shared" si="34"/>
        <v>0</v>
      </c>
      <c r="O157" s="95">
        <f t="shared" si="24"/>
        <v>1151710</v>
      </c>
      <c r="P157" s="89">
        <f t="shared" si="22"/>
        <v>4943470</v>
      </c>
    </row>
    <row r="158" spans="1:16" s="15" customFormat="1" ht="159" customHeight="1">
      <c r="A158" s="75" t="s">
        <v>606</v>
      </c>
      <c r="B158" s="75"/>
      <c r="C158" s="75"/>
      <c r="D158" s="73" t="s">
        <v>605</v>
      </c>
      <c r="E158" s="99">
        <f>SUM(E159:E162)</f>
        <v>3791760</v>
      </c>
      <c r="F158" s="99">
        <f aca="true" t="shared" si="35" ref="F158:N158">SUM(F159:F162)</f>
        <v>3791760</v>
      </c>
      <c r="G158" s="99">
        <f t="shared" si="35"/>
        <v>2626380</v>
      </c>
      <c r="H158" s="99">
        <f t="shared" si="35"/>
        <v>95037</v>
      </c>
      <c r="I158" s="99">
        <f t="shared" si="35"/>
        <v>0</v>
      </c>
      <c r="J158" s="99">
        <f t="shared" si="35"/>
        <v>1151710</v>
      </c>
      <c r="K158" s="99">
        <f t="shared" si="35"/>
        <v>1151710</v>
      </c>
      <c r="L158" s="99">
        <f t="shared" si="35"/>
        <v>0</v>
      </c>
      <c r="M158" s="99">
        <f t="shared" si="35"/>
        <v>0</v>
      </c>
      <c r="N158" s="99">
        <f t="shared" si="35"/>
        <v>0</v>
      </c>
      <c r="O158" s="99">
        <f t="shared" si="24"/>
        <v>1151710</v>
      </c>
      <c r="P158" s="90">
        <f t="shared" si="22"/>
        <v>4943470</v>
      </c>
    </row>
    <row r="159" spans="1:16" ht="120">
      <c r="A159" s="77" t="s">
        <v>607</v>
      </c>
      <c r="B159" s="77" t="s">
        <v>494</v>
      </c>
      <c r="C159" s="77" t="s">
        <v>399</v>
      </c>
      <c r="D159" s="57" t="s">
        <v>495</v>
      </c>
      <c r="E159" s="91">
        <f>F159</f>
        <v>2369710</v>
      </c>
      <c r="F159" s="91">
        <f>2272854+96856</f>
        <v>2369710</v>
      </c>
      <c r="G159" s="91">
        <f>2178886+96856</f>
        <v>2275742</v>
      </c>
      <c r="H159" s="91">
        <v>60163</v>
      </c>
      <c r="I159" s="91"/>
      <c r="J159" s="91">
        <f t="shared" si="23"/>
        <v>0</v>
      </c>
      <c r="K159" s="91"/>
      <c r="L159" s="91"/>
      <c r="M159" s="91"/>
      <c r="N159" s="91"/>
      <c r="O159" s="91">
        <f t="shared" si="24"/>
        <v>0</v>
      </c>
      <c r="P159" s="92">
        <f t="shared" si="22"/>
        <v>2369710</v>
      </c>
    </row>
    <row r="160" spans="1:16" ht="48">
      <c r="A160" s="80" t="s">
        <v>608</v>
      </c>
      <c r="B160" s="80" t="s">
        <v>473</v>
      </c>
      <c r="C160" s="80" t="s">
        <v>464</v>
      </c>
      <c r="D160" s="69" t="s">
        <v>609</v>
      </c>
      <c r="E160" s="91">
        <f>F160</f>
        <v>385512</v>
      </c>
      <c r="F160" s="91">
        <v>385512</v>
      </c>
      <c r="G160" s="91">
        <v>350638</v>
      </c>
      <c r="H160" s="91">
        <v>34874</v>
      </c>
      <c r="I160" s="91"/>
      <c r="J160" s="91">
        <f t="shared" si="23"/>
        <v>39000</v>
      </c>
      <c r="K160" s="91">
        <f>39000</f>
        <v>39000</v>
      </c>
      <c r="L160" s="91"/>
      <c r="M160" s="91"/>
      <c r="N160" s="91"/>
      <c r="O160" s="91">
        <f t="shared" si="24"/>
        <v>39000</v>
      </c>
      <c r="P160" s="92">
        <f t="shared" si="22"/>
        <v>424512</v>
      </c>
    </row>
    <row r="161" spans="1:16" ht="96">
      <c r="A161" s="80" t="s">
        <v>78</v>
      </c>
      <c r="B161" s="80" t="s">
        <v>79</v>
      </c>
      <c r="C161" s="80" t="s">
        <v>80</v>
      </c>
      <c r="D161" s="69" t="s">
        <v>81</v>
      </c>
      <c r="E161" s="97">
        <f>F161+I161</f>
        <v>378863</v>
      </c>
      <c r="F161" s="97">
        <f>58915+37290+44542+18345+65636+93582+60553</f>
        <v>378863</v>
      </c>
      <c r="G161" s="97"/>
      <c r="H161" s="97"/>
      <c r="I161" s="97"/>
      <c r="J161" s="97">
        <f>L161+O161</f>
        <v>1084465</v>
      </c>
      <c r="K161" s="97">
        <f>15300+69165+1000000</f>
        <v>1084465</v>
      </c>
      <c r="L161" s="97"/>
      <c r="M161" s="97"/>
      <c r="N161" s="97"/>
      <c r="O161" s="97">
        <f>K161</f>
        <v>1084465</v>
      </c>
      <c r="P161" s="92">
        <f t="shared" si="22"/>
        <v>1463328</v>
      </c>
    </row>
    <row r="162" spans="1:16" ht="48.75" thickBot="1">
      <c r="A162" s="79" t="s">
        <v>610</v>
      </c>
      <c r="B162" s="79" t="s">
        <v>611</v>
      </c>
      <c r="C162" s="79" t="s">
        <v>477</v>
      </c>
      <c r="D162" s="70" t="s">
        <v>612</v>
      </c>
      <c r="E162" s="94">
        <f>F162</f>
        <v>657675</v>
      </c>
      <c r="F162" s="94">
        <f>200000-18846+20000+100000-9399+200000+165920</f>
        <v>657675</v>
      </c>
      <c r="G162" s="94"/>
      <c r="H162" s="94"/>
      <c r="I162" s="94"/>
      <c r="J162" s="94">
        <f t="shared" si="23"/>
        <v>28245</v>
      </c>
      <c r="K162" s="94">
        <f>18846+9399</f>
        <v>28245</v>
      </c>
      <c r="L162" s="94"/>
      <c r="M162" s="94"/>
      <c r="N162" s="94"/>
      <c r="O162" s="94">
        <f t="shared" si="24"/>
        <v>28245</v>
      </c>
      <c r="P162" s="93">
        <f t="shared" si="22"/>
        <v>685920</v>
      </c>
    </row>
    <row r="163" spans="1:16" s="15" customFormat="1" ht="139.5" customHeight="1">
      <c r="A163" s="75" t="s">
        <v>613</v>
      </c>
      <c r="B163" s="75"/>
      <c r="C163" s="75"/>
      <c r="D163" s="54" t="s">
        <v>614</v>
      </c>
      <c r="E163" s="95">
        <f>E164</f>
        <v>12195569</v>
      </c>
      <c r="F163" s="95">
        <f aca="true" t="shared" si="36" ref="F163:N163">F164</f>
        <v>12195569</v>
      </c>
      <c r="G163" s="95">
        <f t="shared" si="36"/>
        <v>6225740</v>
      </c>
      <c r="H163" s="95">
        <f t="shared" si="36"/>
        <v>871929</v>
      </c>
      <c r="I163" s="95">
        <f t="shared" si="36"/>
        <v>0</v>
      </c>
      <c r="J163" s="95">
        <f t="shared" si="36"/>
        <v>5199994</v>
      </c>
      <c r="K163" s="95">
        <f t="shared" si="36"/>
        <v>5112721</v>
      </c>
      <c r="L163" s="95">
        <f t="shared" si="36"/>
        <v>87273</v>
      </c>
      <c r="M163" s="95">
        <f t="shared" si="36"/>
        <v>0</v>
      </c>
      <c r="N163" s="95">
        <f t="shared" si="36"/>
        <v>0</v>
      </c>
      <c r="O163" s="95">
        <f t="shared" si="24"/>
        <v>5112721</v>
      </c>
      <c r="P163" s="89">
        <f t="shared" si="22"/>
        <v>17395563</v>
      </c>
    </row>
    <row r="164" spans="1:16" s="15" customFormat="1" ht="154.5" customHeight="1">
      <c r="A164" s="76" t="s">
        <v>615</v>
      </c>
      <c r="B164" s="76"/>
      <c r="C164" s="76"/>
      <c r="D164" s="54" t="s">
        <v>614</v>
      </c>
      <c r="E164" s="99">
        <f>SUM(E165:E176)</f>
        <v>12195569</v>
      </c>
      <c r="F164" s="99">
        <f aca="true" t="shared" si="37" ref="F164:N164">SUM(F165:F176)</f>
        <v>12195569</v>
      </c>
      <c r="G164" s="99">
        <f t="shared" si="37"/>
        <v>6225740</v>
      </c>
      <c r="H164" s="99">
        <f t="shared" si="37"/>
        <v>871929</v>
      </c>
      <c r="I164" s="99">
        <f t="shared" si="37"/>
        <v>0</v>
      </c>
      <c r="J164" s="99">
        <f t="shared" si="37"/>
        <v>5199994</v>
      </c>
      <c r="K164" s="99">
        <f t="shared" si="37"/>
        <v>5112721</v>
      </c>
      <c r="L164" s="99">
        <f t="shared" si="37"/>
        <v>87273</v>
      </c>
      <c r="M164" s="99">
        <f t="shared" si="37"/>
        <v>0</v>
      </c>
      <c r="N164" s="99">
        <f t="shared" si="37"/>
        <v>0</v>
      </c>
      <c r="O164" s="99">
        <f t="shared" si="24"/>
        <v>5112721</v>
      </c>
      <c r="P164" s="90">
        <f t="shared" si="22"/>
        <v>17395563</v>
      </c>
    </row>
    <row r="165" spans="1:16" ht="120">
      <c r="A165" s="77" t="s">
        <v>616</v>
      </c>
      <c r="B165" s="77" t="s">
        <v>494</v>
      </c>
      <c r="C165" s="77" t="s">
        <v>399</v>
      </c>
      <c r="D165" s="57" t="s">
        <v>495</v>
      </c>
      <c r="E165" s="91">
        <f>F165</f>
        <v>6826541</v>
      </c>
      <c r="F165" s="91">
        <f>5050013+8519-16922+225310+1559621</f>
        <v>6826541</v>
      </c>
      <c r="G165" s="91">
        <f>4582418+225310+1380720</f>
        <v>6188448</v>
      </c>
      <c r="H165" s="91">
        <f>168488-16922+79937</f>
        <v>231503</v>
      </c>
      <c r="I165" s="91"/>
      <c r="J165" s="91">
        <f t="shared" si="23"/>
        <v>87273</v>
      </c>
      <c r="K165" s="91"/>
      <c r="L165" s="91">
        <f>66273+21000</f>
        <v>87273</v>
      </c>
      <c r="M165" s="91"/>
      <c r="N165" s="91"/>
      <c r="O165" s="91">
        <f t="shared" si="24"/>
        <v>0</v>
      </c>
      <c r="P165" s="92">
        <f t="shared" si="22"/>
        <v>6913814</v>
      </c>
    </row>
    <row r="166" spans="1:16" ht="48">
      <c r="A166" s="77" t="s">
        <v>759</v>
      </c>
      <c r="B166" s="77" t="s">
        <v>732</v>
      </c>
      <c r="C166" s="77" t="s">
        <v>733</v>
      </c>
      <c r="D166" s="62" t="s">
        <v>734</v>
      </c>
      <c r="E166" s="91">
        <f>F166</f>
        <v>37292</v>
      </c>
      <c r="F166" s="91">
        <f>24638+12654</f>
        <v>37292</v>
      </c>
      <c r="G166" s="91">
        <f>24638+12654</f>
        <v>37292</v>
      </c>
      <c r="H166" s="91"/>
      <c r="I166" s="91"/>
      <c r="J166" s="91"/>
      <c r="K166" s="91"/>
      <c r="L166" s="91"/>
      <c r="M166" s="91"/>
      <c r="N166" s="91"/>
      <c r="O166" s="91"/>
      <c r="P166" s="92">
        <f t="shared" si="22"/>
        <v>37292</v>
      </c>
    </row>
    <row r="167" spans="1:16" ht="48">
      <c r="A167" s="77" t="s">
        <v>670</v>
      </c>
      <c r="B167" s="77" t="s">
        <v>444</v>
      </c>
      <c r="C167" s="77" t="s">
        <v>441</v>
      </c>
      <c r="D167" s="57" t="s">
        <v>445</v>
      </c>
      <c r="E167" s="91">
        <f>F167</f>
        <v>44480</v>
      </c>
      <c r="F167" s="91">
        <v>44480</v>
      </c>
      <c r="G167" s="91"/>
      <c r="H167" s="91"/>
      <c r="I167" s="91"/>
      <c r="J167" s="91">
        <f t="shared" si="23"/>
        <v>0</v>
      </c>
      <c r="K167" s="91"/>
      <c r="L167" s="91"/>
      <c r="M167" s="91"/>
      <c r="N167" s="91"/>
      <c r="O167" s="91">
        <f t="shared" si="24"/>
        <v>0</v>
      </c>
      <c r="P167" s="92">
        <f t="shared" si="22"/>
        <v>44480</v>
      </c>
    </row>
    <row r="168" spans="1:16" ht="96">
      <c r="A168" s="77" t="s">
        <v>617</v>
      </c>
      <c r="B168" s="77" t="s">
        <v>447</v>
      </c>
      <c r="C168" s="77" t="s">
        <v>441</v>
      </c>
      <c r="D168" s="57" t="s">
        <v>448</v>
      </c>
      <c r="E168" s="91">
        <f aca="true" t="shared" si="38" ref="E168:E176">F168</f>
        <v>55000</v>
      </c>
      <c r="F168" s="91">
        <v>55000</v>
      </c>
      <c r="G168" s="91"/>
      <c r="H168" s="91"/>
      <c r="I168" s="91"/>
      <c r="J168" s="91">
        <f t="shared" si="23"/>
        <v>0</v>
      </c>
      <c r="K168" s="91"/>
      <c r="L168" s="91"/>
      <c r="M168" s="91"/>
      <c r="N168" s="91"/>
      <c r="O168" s="91">
        <f t="shared" si="24"/>
        <v>0</v>
      </c>
      <c r="P168" s="92">
        <f t="shared" si="22"/>
        <v>55000</v>
      </c>
    </row>
    <row r="169" spans="1:16" ht="48">
      <c r="A169" s="77" t="s">
        <v>618</v>
      </c>
      <c r="B169" s="77" t="s">
        <v>453</v>
      </c>
      <c r="C169" s="77" t="s">
        <v>441</v>
      </c>
      <c r="D169" s="57" t="s">
        <v>454</v>
      </c>
      <c r="E169" s="91">
        <f t="shared" si="38"/>
        <v>2682875</v>
      </c>
      <c r="F169" s="91">
        <f>2039358+511184+144987-12654</f>
        <v>2682875</v>
      </c>
      <c r="G169" s="91"/>
      <c r="H169" s="91">
        <f>587926+50526</f>
        <v>638452</v>
      </c>
      <c r="I169" s="91"/>
      <c r="J169" s="91">
        <f t="shared" si="23"/>
        <v>701311</v>
      </c>
      <c r="K169" s="91">
        <f>199980+108131+385200+8000</f>
        <v>701311</v>
      </c>
      <c r="L169" s="91"/>
      <c r="M169" s="91"/>
      <c r="N169" s="91"/>
      <c r="O169" s="91">
        <f t="shared" si="24"/>
        <v>701311</v>
      </c>
      <c r="P169" s="92">
        <f t="shared" si="22"/>
        <v>3384186</v>
      </c>
    </row>
    <row r="170" spans="1:16" ht="48">
      <c r="A170" s="77" t="s">
        <v>668</v>
      </c>
      <c r="B170" s="77" t="s">
        <v>669</v>
      </c>
      <c r="C170" s="77" t="s">
        <v>441</v>
      </c>
      <c r="D170" s="57" t="s">
        <v>671</v>
      </c>
      <c r="E170" s="91">
        <f t="shared" si="38"/>
        <v>548324</v>
      </c>
      <c r="F170" s="91">
        <f>199000+299792+49532</f>
        <v>548324</v>
      </c>
      <c r="G170" s="91"/>
      <c r="H170" s="91"/>
      <c r="I170" s="91"/>
      <c r="J170" s="91">
        <f t="shared" si="23"/>
        <v>75050</v>
      </c>
      <c r="K170" s="91">
        <f>75050</f>
        <v>75050</v>
      </c>
      <c r="L170" s="91"/>
      <c r="M170" s="91"/>
      <c r="N170" s="91"/>
      <c r="O170" s="91">
        <f t="shared" si="24"/>
        <v>75050</v>
      </c>
      <c r="P170" s="92">
        <f t="shared" si="22"/>
        <v>623374</v>
      </c>
    </row>
    <row r="171" spans="1:16" ht="48">
      <c r="A171" s="77" t="s">
        <v>619</v>
      </c>
      <c r="B171" s="77" t="s">
        <v>460</v>
      </c>
      <c r="C171" s="77" t="s">
        <v>461</v>
      </c>
      <c r="D171" s="57" t="s">
        <v>462</v>
      </c>
      <c r="E171" s="91">
        <f t="shared" si="38"/>
        <v>122576</v>
      </c>
      <c r="F171" s="91">
        <v>122576</v>
      </c>
      <c r="G171" s="91"/>
      <c r="H171" s="91"/>
      <c r="I171" s="91"/>
      <c r="J171" s="91">
        <f t="shared" si="23"/>
        <v>0</v>
      </c>
      <c r="K171" s="91"/>
      <c r="L171" s="91"/>
      <c r="M171" s="91"/>
      <c r="N171" s="91"/>
      <c r="O171" s="91">
        <f t="shared" si="24"/>
        <v>0</v>
      </c>
      <c r="P171" s="92">
        <f t="shared" si="22"/>
        <v>122576</v>
      </c>
    </row>
    <row r="172" spans="1:16" ht="72">
      <c r="A172" s="77" t="s">
        <v>665</v>
      </c>
      <c r="B172" s="77" t="s">
        <v>666</v>
      </c>
      <c r="C172" s="77" t="s">
        <v>463</v>
      </c>
      <c r="D172" s="57" t="s">
        <v>667</v>
      </c>
      <c r="E172" s="91">
        <f t="shared" si="38"/>
        <v>0</v>
      </c>
      <c r="F172" s="91"/>
      <c r="G172" s="91"/>
      <c r="H172" s="91"/>
      <c r="I172" s="91"/>
      <c r="J172" s="91">
        <f t="shared" si="23"/>
        <v>325486</v>
      </c>
      <c r="K172" s="91">
        <f>575278+50000-299792</f>
        <v>325486</v>
      </c>
      <c r="L172" s="91"/>
      <c r="M172" s="91"/>
      <c r="N172" s="91"/>
      <c r="O172" s="91">
        <f t="shared" si="24"/>
        <v>325486</v>
      </c>
      <c r="P172" s="92">
        <f t="shared" si="22"/>
        <v>325486</v>
      </c>
    </row>
    <row r="173" spans="1:16" ht="48">
      <c r="A173" s="77" t="s">
        <v>620</v>
      </c>
      <c r="B173" s="77" t="s">
        <v>621</v>
      </c>
      <c r="C173" s="77" t="s">
        <v>463</v>
      </c>
      <c r="D173" s="57" t="s">
        <v>622</v>
      </c>
      <c r="E173" s="91">
        <f t="shared" si="38"/>
        <v>0</v>
      </c>
      <c r="F173" s="91"/>
      <c r="G173" s="91"/>
      <c r="H173" s="91"/>
      <c r="I173" s="91"/>
      <c r="J173" s="91">
        <f t="shared" si="23"/>
        <v>2727572</v>
      </c>
      <c r="K173" s="91">
        <f>667868+424269+1450000+35459+149976</f>
        <v>2727572</v>
      </c>
      <c r="L173" s="91"/>
      <c r="M173" s="91"/>
      <c r="N173" s="91"/>
      <c r="O173" s="91">
        <f t="shared" si="24"/>
        <v>2727572</v>
      </c>
      <c r="P173" s="92">
        <f t="shared" si="22"/>
        <v>2727572</v>
      </c>
    </row>
    <row r="174" spans="1:16" ht="96">
      <c r="A174" s="77" t="s">
        <v>623</v>
      </c>
      <c r="B174" s="77" t="s">
        <v>624</v>
      </c>
      <c r="C174" s="77" t="s">
        <v>463</v>
      </c>
      <c r="D174" s="57" t="s">
        <v>625</v>
      </c>
      <c r="E174" s="91">
        <f t="shared" si="38"/>
        <v>0</v>
      </c>
      <c r="F174" s="91"/>
      <c r="G174" s="91"/>
      <c r="H174" s="91"/>
      <c r="I174" s="91"/>
      <c r="J174" s="91">
        <f t="shared" si="23"/>
        <v>93500</v>
      </c>
      <c r="K174" s="91">
        <v>93500</v>
      </c>
      <c r="L174" s="91"/>
      <c r="M174" s="91"/>
      <c r="N174" s="91"/>
      <c r="O174" s="91">
        <f t="shared" si="24"/>
        <v>93500</v>
      </c>
      <c r="P174" s="92">
        <f t="shared" si="22"/>
        <v>93500</v>
      </c>
    </row>
    <row r="175" spans="1:16" ht="120">
      <c r="A175" s="77" t="s">
        <v>626</v>
      </c>
      <c r="B175" s="77" t="s">
        <v>466</v>
      </c>
      <c r="C175" s="77" t="s">
        <v>467</v>
      </c>
      <c r="D175" s="57" t="s">
        <v>468</v>
      </c>
      <c r="E175" s="91">
        <f t="shared" si="38"/>
        <v>1872915</v>
      </c>
      <c r="F175" s="91">
        <f>1609406+225077+190000-151568</f>
        <v>1872915</v>
      </c>
      <c r="G175" s="91"/>
      <c r="H175" s="91"/>
      <c r="I175" s="91"/>
      <c r="J175" s="91">
        <f t="shared" si="23"/>
        <v>1189802</v>
      </c>
      <c r="K175" s="91">
        <f>1189802</f>
        <v>1189802</v>
      </c>
      <c r="L175" s="91"/>
      <c r="M175" s="91"/>
      <c r="N175" s="91"/>
      <c r="O175" s="91">
        <f t="shared" si="24"/>
        <v>1189802</v>
      </c>
      <c r="P175" s="92">
        <f t="shared" si="22"/>
        <v>3062717</v>
      </c>
    </row>
    <row r="176" spans="1:16" ht="48.75" thickBot="1">
      <c r="A176" s="79" t="s">
        <v>627</v>
      </c>
      <c r="B176" s="79" t="s">
        <v>473</v>
      </c>
      <c r="C176" s="79" t="s">
        <v>464</v>
      </c>
      <c r="D176" s="70" t="s">
        <v>474</v>
      </c>
      <c r="E176" s="94">
        <f t="shared" si="38"/>
        <v>5566</v>
      </c>
      <c r="F176" s="94">
        <f>3974+1592</f>
        <v>5566</v>
      </c>
      <c r="G176" s="94"/>
      <c r="H176" s="94">
        <v>1974</v>
      </c>
      <c r="I176" s="94"/>
      <c r="J176" s="94">
        <f t="shared" si="23"/>
        <v>0</v>
      </c>
      <c r="K176" s="94"/>
      <c r="L176" s="94"/>
      <c r="M176" s="94"/>
      <c r="N176" s="94"/>
      <c r="O176" s="94">
        <f t="shared" si="24"/>
        <v>0</v>
      </c>
      <c r="P176" s="93">
        <f t="shared" si="22"/>
        <v>5566</v>
      </c>
    </row>
    <row r="177" spans="1:16" s="15" customFormat="1" ht="78" customHeight="1">
      <c r="A177" s="75" t="s">
        <v>628</v>
      </c>
      <c r="B177" s="75"/>
      <c r="C177" s="75"/>
      <c r="D177" s="73" t="s">
        <v>629</v>
      </c>
      <c r="E177" s="95">
        <f>E178</f>
        <v>1916226</v>
      </c>
      <c r="F177" s="95">
        <f aca="true" t="shared" si="39" ref="F177:N178">F178</f>
        <v>1916226</v>
      </c>
      <c r="G177" s="95">
        <f t="shared" si="39"/>
        <v>1682351</v>
      </c>
      <c r="H177" s="95">
        <f t="shared" si="39"/>
        <v>68238</v>
      </c>
      <c r="I177" s="95">
        <f t="shared" si="39"/>
        <v>0</v>
      </c>
      <c r="J177" s="95">
        <f t="shared" si="39"/>
        <v>0</v>
      </c>
      <c r="K177" s="95">
        <f t="shared" si="39"/>
        <v>0</v>
      </c>
      <c r="L177" s="95">
        <f t="shared" si="39"/>
        <v>0</v>
      </c>
      <c r="M177" s="95">
        <f t="shared" si="39"/>
        <v>0</v>
      </c>
      <c r="N177" s="95">
        <f t="shared" si="39"/>
        <v>0</v>
      </c>
      <c r="O177" s="95">
        <f t="shared" si="24"/>
        <v>0</v>
      </c>
      <c r="P177" s="89">
        <f t="shared" si="22"/>
        <v>1916226</v>
      </c>
    </row>
    <row r="178" spans="1:16" s="15" customFormat="1" ht="74.25" customHeight="1">
      <c r="A178" s="75" t="s">
        <v>630</v>
      </c>
      <c r="B178" s="75"/>
      <c r="C178" s="75"/>
      <c r="D178" s="73" t="s">
        <v>629</v>
      </c>
      <c r="E178" s="99">
        <f>E179</f>
        <v>1916226</v>
      </c>
      <c r="F178" s="99">
        <f t="shared" si="39"/>
        <v>1916226</v>
      </c>
      <c r="G178" s="99">
        <f t="shared" si="39"/>
        <v>1682351</v>
      </c>
      <c r="H178" s="99">
        <f t="shared" si="39"/>
        <v>68238</v>
      </c>
      <c r="I178" s="99">
        <f t="shared" si="39"/>
        <v>0</v>
      </c>
      <c r="J178" s="99">
        <f t="shared" si="39"/>
        <v>0</v>
      </c>
      <c r="K178" s="99">
        <f t="shared" si="39"/>
        <v>0</v>
      </c>
      <c r="L178" s="99">
        <f t="shared" si="39"/>
        <v>0</v>
      </c>
      <c r="M178" s="99">
        <f t="shared" si="39"/>
        <v>0</v>
      </c>
      <c r="N178" s="99">
        <f t="shared" si="39"/>
        <v>0</v>
      </c>
      <c r="O178" s="99">
        <f t="shared" si="24"/>
        <v>0</v>
      </c>
      <c r="P178" s="90">
        <f t="shared" si="22"/>
        <v>1916226</v>
      </c>
    </row>
    <row r="179" spans="1:16" ht="123" customHeight="1" thickBot="1">
      <c r="A179" s="79" t="s">
        <v>631</v>
      </c>
      <c r="B179" s="79" t="s">
        <v>494</v>
      </c>
      <c r="C179" s="79" t="s">
        <v>399</v>
      </c>
      <c r="D179" s="70" t="s">
        <v>495</v>
      </c>
      <c r="E179" s="94">
        <f>F179</f>
        <v>1916226</v>
      </c>
      <c r="F179" s="94">
        <f>1760259+77830+67000+11137</f>
        <v>1916226</v>
      </c>
      <c r="G179" s="94">
        <f>1604521+77830</f>
        <v>1682351</v>
      </c>
      <c r="H179" s="94">
        <v>68238</v>
      </c>
      <c r="I179" s="94"/>
      <c r="J179" s="94">
        <f t="shared" si="23"/>
        <v>0</v>
      </c>
      <c r="K179" s="94"/>
      <c r="L179" s="94"/>
      <c r="M179" s="94"/>
      <c r="N179" s="94"/>
      <c r="O179" s="94">
        <f t="shared" si="24"/>
        <v>0</v>
      </c>
      <c r="P179" s="93">
        <f t="shared" si="22"/>
        <v>1916226</v>
      </c>
    </row>
    <row r="180" spans="1:16" s="15" customFormat="1" ht="78" customHeight="1">
      <c r="A180" s="75" t="s">
        <v>632</v>
      </c>
      <c r="B180" s="75"/>
      <c r="C180" s="75"/>
      <c r="D180" s="73" t="s">
        <v>633</v>
      </c>
      <c r="E180" s="95">
        <f aca="true" t="shared" si="40" ref="E180:N180">E181</f>
        <v>4850620</v>
      </c>
      <c r="F180" s="95">
        <f t="shared" si="40"/>
        <v>4331819</v>
      </c>
      <c r="G180" s="95">
        <f t="shared" si="40"/>
        <v>3124416</v>
      </c>
      <c r="H180" s="95">
        <f t="shared" si="40"/>
        <v>94184</v>
      </c>
      <c r="I180" s="95">
        <f t="shared" si="40"/>
        <v>405000</v>
      </c>
      <c r="J180" s="95">
        <f t="shared" si="40"/>
        <v>0</v>
      </c>
      <c r="K180" s="95">
        <f t="shared" si="40"/>
        <v>0</v>
      </c>
      <c r="L180" s="95">
        <f t="shared" si="40"/>
        <v>0</v>
      </c>
      <c r="M180" s="95">
        <f t="shared" si="40"/>
        <v>0</v>
      </c>
      <c r="N180" s="95">
        <f t="shared" si="40"/>
        <v>0</v>
      </c>
      <c r="O180" s="95">
        <f t="shared" si="24"/>
        <v>0</v>
      </c>
      <c r="P180" s="89">
        <f t="shared" si="22"/>
        <v>4850620</v>
      </c>
    </row>
    <row r="181" spans="1:16" s="15" customFormat="1" ht="77.25" customHeight="1">
      <c r="A181" s="75" t="s">
        <v>634</v>
      </c>
      <c r="B181" s="75"/>
      <c r="C181" s="75"/>
      <c r="D181" s="73" t="s">
        <v>633</v>
      </c>
      <c r="E181" s="99">
        <f>E182+E183+E184+E187</f>
        <v>4850620</v>
      </c>
      <c r="F181" s="99">
        <f>F182+F183+F184+F187</f>
        <v>4331819</v>
      </c>
      <c r="G181" s="99">
        <f>G182+G183+G184+G187</f>
        <v>3124416</v>
      </c>
      <c r="H181" s="99">
        <f>H182+H183+H184+H187</f>
        <v>94184</v>
      </c>
      <c r="I181" s="99">
        <f>I182+I183+I184+I187</f>
        <v>405000</v>
      </c>
      <c r="J181" s="99">
        <f>J182+J183</f>
        <v>0</v>
      </c>
      <c r="K181" s="99">
        <f>K182+K183</f>
        <v>0</v>
      </c>
      <c r="L181" s="99">
        <f>L182+L183</f>
        <v>0</v>
      </c>
      <c r="M181" s="99">
        <f>M182+M183</f>
        <v>0</v>
      </c>
      <c r="N181" s="99">
        <f>N182+N183</f>
        <v>0</v>
      </c>
      <c r="O181" s="99">
        <f t="shared" si="24"/>
        <v>0</v>
      </c>
      <c r="P181" s="90">
        <f t="shared" si="22"/>
        <v>4850620</v>
      </c>
    </row>
    <row r="182" spans="1:16" ht="126.75" customHeight="1">
      <c r="A182" s="80" t="s">
        <v>635</v>
      </c>
      <c r="B182" s="80" t="s">
        <v>494</v>
      </c>
      <c r="C182" s="80" t="s">
        <v>399</v>
      </c>
      <c r="D182" s="69" t="s">
        <v>495</v>
      </c>
      <c r="E182" s="91">
        <f>F182</f>
        <v>3356621</v>
      </c>
      <c r="F182" s="91">
        <f>3159793+50000+137207+476620-46999-100000-50000-270000</f>
        <v>3356621</v>
      </c>
      <c r="G182" s="91">
        <f>50000+2937209+137207</f>
        <v>3124416</v>
      </c>
      <c r="H182" s="91">
        <v>94184</v>
      </c>
      <c r="I182" s="91"/>
      <c r="J182" s="91">
        <f t="shared" si="23"/>
        <v>0</v>
      </c>
      <c r="K182" s="91"/>
      <c r="L182" s="91"/>
      <c r="M182" s="91"/>
      <c r="N182" s="91"/>
      <c r="O182" s="91">
        <f t="shared" si="24"/>
        <v>0</v>
      </c>
      <c r="P182" s="92">
        <f t="shared" si="22"/>
        <v>3356621</v>
      </c>
    </row>
    <row r="183" spans="1:16" ht="24">
      <c r="A183" s="77" t="s">
        <v>636</v>
      </c>
      <c r="B183" s="77" t="s">
        <v>637</v>
      </c>
      <c r="C183" s="77" t="s">
        <v>406</v>
      </c>
      <c r="D183" s="57" t="s">
        <v>638</v>
      </c>
      <c r="E183" s="91">
        <f>500000+1000000-74215-106455-44542-18345-65636-195908-547635-49532-129796-93582+1000000-60553-1000000</f>
        <v>113801</v>
      </c>
      <c r="F183" s="91"/>
      <c r="G183" s="91"/>
      <c r="H183" s="91"/>
      <c r="I183" s="91"/>
      <c r="J183" s="91">
        <f t="shared" si="23"/>
        <v>0</v>
      </c>
      <c r="K183" s="91"/>
      <c r="L183" s="91"/>
      <c r="M183" s="91"/>
      <c r="N183" s="91"/>
      <c r="O183" s="91">
        <f t="shared" si="24"/>
        <v>0</v>
      </c>
      <c r="P183" s="92">
        <f t="shared" si="22"/>
        <v>113801</v>
      </c>
    </row>
    <row r="184" spans="1:16" ht="48">
      <c r="A184" s="77" t="s">
        <v>718</v>
      </c>
      <c r="B184" s="77" t="s">
        <v>719</v>
      </c>
      <c r="C184" s="77" t="s">
        <v>405</v>
      </c>
      <c r="D184" s="57" t="s">
        <v>698</v>
      </c>
      <c r="E184" s="105">
        <f>E186</f>
        <v>202048</v>
      </c>
      <c r="F184" s="105">
        <f>F186</f>
        <v>202048</v>
      </c>
      <c r="G184" s="106">
        <f>G186</f>
        <v>0</v>
      </c>
      <c r="H184" s="106">
        <f>H186</f>
        <v>0</v>
      </c>
      <c r="I184" s="106">
        <f>I186</f>
        <v>0</v>
      </c>
      <c r="J184" s="91"/>
      <c r="K184" s="91"/>
      <c r="L184" s="91"/>
      <c r="M184" s="91"/>
      <c r="N184" s="91"/>
      <c r="O184" s="91"/>
      <c r="P184" s="92">
        <f t="shared" si="22"/>
        <v>202048</v>
      </c>
    </row>
    <row r="185" spans="1:16" ht="24" hidden="1">
      <c r="A185" s="77"/>
      <c r="B185" s="77"/>
      <c r="C185" s="77"/>
      <c r="D185" s="57" t="s">
        <v>720</v>
      </c>
      <c r="E185" s="106"/>
      <c r="F185" s="106"/>
      <c r="G185" s="106"/>
      <c r="H185" s="106"/>
      <c r="I185" s="106"/>
      <c r="J185" s="91"/>
      <c r="K185" s="91"/>
      <c r="L185" s="91"/>
      <c r="M185" s="91"/>
      <c r="N185" s="91"/>
      <c r="O185" s="91"/>
      <c r="P185" s="92">
        <f aca="true" t="shared" si="41" ref="P185:P196">E185+J185</f>
        <v>0</v>
      </c>
    </row>
    <row r="186" spans="1:16" ht="120" hidden="1">
      <c r="A186" s="77"/>
      <c r="B186" s="77"/>
      <c r="C186" s="77"/>
      <c r="D186" s="57" t="s">
        <v>721</v>
      </c>
      <c r="E186" s="105">
        <f>F186+H186</f>
        <v>202048</v>
      </c>
      <c r="F186" s="105">
        <v>202048</v>
      </c>
      <c r="G186" s="106"/>
      <c r="H186" s="106"/>
      <c r="I186" s="106"/>
      <c r="J186" s="91"/>
      <c r="K186" s="91"/>
      <c r="L186" s="91"/>
      <c r="M186" s="91"/>
      <c r="N186" s="91"/>
      <c r="O186" s="91"/>
      <c r="P186" s="92">
        <f t="shared" si="41"/>
        <v>202048</v>
      </c>
    </row>
    <row r="187" spans="1:16" ht="151.5" customHeight="1">
      <c r="A187" s="77" t="s">
        <v>722</v>
      </c>
      <c r="B187" s="77" t="s">
        <v>723</v>
      </c>
      <c r="C187" s="77" t="s">
        <v>405</v>
      </c>
      <c r="D187" s="57" t="s">
        <v>724</v>
      </c>
      <c r="E187" s="91">
        <f>SUM(E189:E196)</f>
        <v>1178150</v>
      </c>
      <c r="F187" s="91">
        <f>SUM(F189:F196)</f>
        <v>773150</v>
      </c>
      <c r="G187" s="91">
        <f>SUM(G189:G196)</f>
        <v>0</v>
      </c>
      <c r="H187" s="91">
        <f>SUM(H189:H196)</f>
        <v>0</v>
      </c>
      <c r="I187" s="91">
        <f>SUM(I189:I196)</f>
        <v>405000</v>
      </c>
      <c r="J187" s="91"/>
      <c r="K187" s="91"/>
      <c r="L187" s="91"/>
      <c r="M187" s="91"/>
      <c r="N187" s="91"/>
      <c r="O187" s="91"/>
      <c r="P187" s="92">
        <f t="shared" si="41"/>
        <v>1178150</v>
      </c>
    </row>
    <row r="188" spans="1:16" ht="24" hidden="1">
      <c r="A188" s="77"/>
      <c r="B188" s="77"/>
      <c r="C188" s="77"/>
      <c r="D188" s="57" t="s">
        <v>720</v>
      </c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41"/>
        <v>0</v>
      </c>
    </row>
    <row r="189" spans="1:16" ht="144" hidden="1">
      <c r="A189" s="77"/>
      <c r="B189" s="77"/>
      <c r="C189" s="77"/>
      <c r="D189" s="57" t="s">
        <v>725</v>
      </c>
      <c r="E189" s="91">
        <f aca="true" t="shared" si="42" ref="E189:E195">F189+I189</f>
        <v>300000</v>
      </c>
      <c r="F189" s="91"/>
      <c r="G189" s="91"/>
      <c r="H189" s="91"/>
      <c r="I189" s="91">
        <v>300000</v>
      </c>
      <c r="J189" s="91"/>
      <c r="K189" s="91"/>
      <c r="L189" s="91"/>
      <c r="M189" s="91"/>
      <c r="N189" s="91"/>
      <c r="O189" s="91"/>
      <c r="P189" s="92">
        <f t="shared" si="41"/>
        <v>300000</v>
      </c>
    </row>
    <row r="190" spans="1:16" ht="120" hidden="1">
      <c r="A190" s="77"/>
      <c r="B190" s="77"/>
      <c r="C190" s="77"/>
      <c r="D190" s="56" t="s">
        <v>726</v>
      </c>
      <c r="E190" s="91">
        <f t="shared" si="42"/>
        <v>250000</v>
      </c>
      <c r="F190" s="91">
        <f>120000+20000+50000</f>
        <v>190000</v>
      </c>
      <c r="G190" s="91"/>
      <c r="H190" s="91"/>
      <c r="I190" s="91">
        <v>60000</v>
      </c>
      <c r="J190" s="91"/>
      <c r="K190" s="91"/>
      <c r="L190" s="91"/>
      <c r="M190" s="91"/>
      <c r="N190" s="91"/>
      <c r="O190" s="91"/>
      <c r="P190" s="92">
        <f t="shared" si="41"/>
        <v>250000</v>
      </c>
    </row>
    <row r="191" spans="1:16" ht="288" hidden="1">
      <c r="A191" s="77"/>
      <c r="B191" s="77"/>
      <c r="C191" s="77"/>
      <c r="D191" s="56" t="s">
        <v>727</v>
      </c>
      <c r="E191" s="91">
        <f t="shared" si="42"/>
        <v>150000</v>
      </c>
      <c r="F191" s="91">
        <v>150000</v>
      </c>
      <c r="G191" s="91"/>
      <c r="H191" s="91"/>
      <c r="I191" s="91"/>
      <c r="J191" s="91"/>
      <c r="K191" s="91"/>
      <c r="L191" s="91"/>
      <c r="M191" s="91"/>
      <c r="N191" s="91"/>
      <c r="O191" s="91"/>
      <c r="P191" s="92">
        <f t="shared" si="41"/>
        <v>150000</v>
      </c>
    </row>
    <row r="192" spans="1:16" ht="125.25" customHeight="1" hidden="1">
      <c r="A192" s="77"/>
      <c r="B192" s="77"/>
      <c r="C192" s="77"/>
      <c r="D192" s="56" t="s">
        <v>728</v>
      </c>
      <c r="E192" s="91">
        <f t="shared" si="42"/>
        <v>100000</v>
      </c>
      <c r="F192" s="91">
        <v>100000</v>
      </c>
      <c r="G192" s="91"/>
      <c r="H192" s="91"/>
      <c r="I192" s="91"/>
      <c r="J192" s="91"/>
      <c r="K192" s="91"/>
      <c r="L192" s="91"/>
      <c r="M192" s="91"/>
      <c r="N192" s="91"/>
      <c r="O192" s="91"/>
      <c r="P192" s="92">
        <f t="shared" si="41"/>
        <v>100000</v>
      </c>
    </row>
    <row r="193" spans="1:16" ht="175.5" customHeight="1" hidden="1">
      <c r="A193" s="77"/>
      <c r="B193" s="77"/>
      <c r="C193" s="77"/>
      <c r="D193" s="57" t="s">
        <v>729</v>
      </c>
      <c r="E193" s="91">
        <f t="shared" si="42"/>
        <v>69650</v>
      </c>
      <c r="F193" s="91">
        <v>69650</v>
      </c>
      <c r="G193" s="91"/>
      <c r="H193" s="91"/>
      <c r="I193" s="91"/>
      <c r="J193" s="91"/>
      <c r="K193" s="91"/>
      <c r="L193" s="91"/>
      <c r="M193" s="91"/>
      <c r="N193" s="91"/>
      <c r="O193" s="91"/>
      <c r="P193" s="92">
        <f t="shared" si="41"/>
        <v>69650</v>
      </c>
    </row>
    <row r="194" spans="1:16" ht="96" hidden="1">
      <c r="A194" s="77"/>
      <c r="B194" s="77"/>
      <c r="C194" s="77"/>
      <c r="D194" s="56" t="s">
        <v>730</v>
      </c>
      <c r="E194" s="91">
        <f t="shared" si="42"/>
        <v>48500</v>
      </c>
      <c r="F194" s="91">
        <v>48500</v>
      </c>
      <c r="G194" s="91"/>
      <c r="H194" s="91"/>
      <c r="I194" s="91"/>
      <c r="J194" s="91"/>
      <c r="K194" s="91"/>
      <c r="L194" s="91"/>
      <c r="M194" s="91"/>
      <c r="N194" s="91"/>
      <c r="O194" s="91"/>
      <c r="P194" s="92">
        <f t="shared" si="41"/>
        <v>48500</v>
      </c>
    </row>
    <row r="195" spans="1:16" ht="192" hidden="1">
      <c r="A195" s="76"/>
      <c r="B195" s="76"/>
      <c r="C195" s="76"/>
      <c r="D195" s="57" t="s">
        <v>763</v>
      </c>
      <c r="E195" s="111">
        <f t="shared" si="42"/>
        <v>60000</v>
      </c>
      <c r="F195" s="111">
        <v>15000</v>
      </c>
      <c r="G195" s="111"/>
      <c r="H195" s="111"/>
      <c r="I195" s="111">
        <f>30000+15000</f>
        <v>45000</v>
      </c>
      <c r="J195" s="91"/>
      <c r="K195" s="91"/>
      <c r="L195" s="91"/>
      <c r="M195" s="91"/>
      <c r="N195" s="91"/>
      <c r="O195" s="91"/>
      <c r="P195" s="92">
        <f t="shared" si="41"/>
        <v>60000</v>
      </c>
    </row>
    <row r="196" spans="1:16" ht="87.75" customHeight="1" hidden="1">
      <c r="A196" s="77"/>
      <c r="B196" s="77"/>
      <c r="C196" s="77"/>
      <c r="D196" s="57" t="s">
        <v>762</v>
      </c>
      <c r="E196" s="111">
        <f>F196</f>
        <v>200000</v>
      </c>
      <c r="F196" s="111">
        <v>200000</v>
      </c>
      <c r="G196" s="111"/>
      <c r="H196" s="111"/>
      <c r="I196" s="111"/>
      <c r="J196" s="91"/>
      <c r="K196" s="91"/>
      <c r="L196" s="91"/>
      <c r="M196" s="91"/>
      <c r="N196" s="91"/>
      <c r="O196" s="91"/>
      <c r="P196" s="92">
        <f t="shared" si="41"/>
        <v>200000</v>
      </c>
    </row>
    <row r="197" spans="1:16" ht="23.25">
      <c r="A197" s="87" t="s">
        <v>388</v>
      </c>
      <c r="B197" s="87" t="s">
        <v>388</v>
      </c>
      <c r="C197" s="87" t="s">
        <v>388</v>
      </c>
      <c r="D197" s="88" t="s">
        <v>387</v>
      </c>
      <c r="E197" s="99">
        <f aca="true" t="shared" si="43" ref="E197:O197">E17+E68+E101+E122+E134+E148+E154+E157+E163+E177+E180</f>
        <v>495099056</v>
      </c>
      <c r="F197" s="99">
        <f t="shared" si="43"/>
        <v>494580255</v>
      </c>
      <c r="G197" s="99">
        <f t="shared" si="43"/>
        <v>316028302</v>
      </c>
      <c r="H197" s="99">
        <f t="shared" si="43"/>
        <v>32807937</v>
      </c>
      <c r="I197" s="99">
        <f t="shared" si="43"/>
        <v>405000</v>
      </c>
      <c r="J197" s="99">
        <f t="shared" si="43"/>
        <v>59719279</v>
      </c>
      <c r="K197" s="99">
        <f t="shared" si="43"/>
        <v>49390310</v>
      </c>
      <c r="L197" s="99">
        <f t="shared" si="43"/>
        <v>10048969</v>
      </c>
      <c r="M197" s="99">
        <f t="shared" si="43"/>
        <v>2306953</v>
      </c>
      <c r="N197" s="99">
        <f t="shared" si="43"/>
        <v>73626</v>
      </c>
      <c r="O197" s="99">
        <f t="shared" si="43"/>
        <v>49670310</v>
      </c>
      <c r="P197" s="90">
        <f>E197+J197</f>
        <v>554818335</v>
      </c>
    </row>
    <row r="198" spans="1:16" ht="24">
      <c r="A198" s="47"/>
      <c r="B198" s="47"/>
      <c r="C198" s="47"/>
      <c r="D198" s="48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50"/>
    </row>
    <row r="199" spans="1:16" ht="24">
      <c r="A199" s="47"/>
      <c r="B199" s="47"/>
      <c r="C199" s="47"/>
      <c r="D199" s="48"/>
      <c r="E199" s="49"/>
      <c r="F199" s="109"/>
      <c r="G199" s="49"/>
      <c r="H199" s="49"/>
      <c r="I199" s="49"/>
      <c r="J199" s="49"/>
      <c r="K199" s="49"/>
      <c r="L199" s="49"/>
      <c r="M199" s="49"/>
      <c r="N199" s="49"/>
      <c r="O199" s="49"/>
      <c r="P199" s="50"/>
    </row>
    <row r="200" spans="4:16" ht="23.25">
      <c r="D200" s="17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2:16" ht="23.25">
      <c r="B201" s="17"/>
      <c r="C201" s="10" t="s">
        <v>699</v>
      </c>
      <c r="D201" s="43"/>
      <c r="E201" s="17"/>
      <c r="F201" s="110"/>
      <c r="G201" s="43"/>
      <c r="H201" s="43"/>
      <c r="I201" s="43"/>
      <c r="J201" s="17"/>
      <c r="K201" s="110"/>
      <c r="L201" s="17"/>
      <c r="M201" s="43"/>
      <c r="N201" s="10" t="s">
        <v>700</v>
      </c>
      <c r="O201" s="43"/>
      <c r="P201" s="43"/>
    </row>
    <row r="202" spans="3:16" ht="23.25" hidden="1">
      <c r="C202" s="333" t="s">
        <v>366</v>
      </c>
      <c r="D202" s="333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</row>
    <row r="203" spans="3:16" ht="23.25" hidden="1">
      <c r="C203" s="32" t="s">
        <v>367</v>
      </c>
      <c r="D203" s="14"/>
      <c r="E203" s="40">
        <f>E19+E23+E70+E103+E124+E136+E150+E156+E159+E165+E179+E182</f>
        <v>55309580</v>
      </c>
      <c r="F203" s="40"/>
      <c r="G203" s="40">
        <f aca="true" t="shared" si="44" ref="G203:P203">G19+G23+G70+G103+G124+G136+G150+G156+G159+G165+G179+G182</f>
        <v>50204841</v>
      </c>
      <c r="H203" s="40">
        <f t="shared" si="44"/>
        <v>1919901</v>
      </c>
      <c r="I203" s="40">
        <f t="shared" si="44"/>
        <v>0</v>
      </c>
      <c r="J203" s="40">
        <f t="shared" si="44"/>
        <v>354683</v>
      </c>
      <c r="K203" s="40">
        <f t="shared" si="44"/>
        <v>203410</v>
      </c>
      <c r="L203" s="40">
        <f t="shared" si="44"/>
        <v>151273</v>
      </c>
      <c r="M203" s="40">
        <f t="shared" si="44"/>
        <v>18300</v>
      </c>
      <c r="N203" s="40">
        <f t="shared" si="44"/>
        <v>12590</v>
      </c>
      <c r="O203" s="40">
        <f t="shared" si="44"/>
        <v>203410</v>
      </c>
      <c r="P203" s="40">
        <f t="shared" si="44"/>
        <v>55664263</v>
      </c>
    </row>
    <row r="204" spans="3:16" ht="23.25" hidden="1">
      <c r="C204" s="33">
        <v>1000</v>
      </c>
      <c r="D204" s="14"/>
      <c r="E204" s="40">
        <f>E71+E72+E84+E85+E86+E87+E90+E125</f>
        <v>285186119</v>
      </c>
      <c r="F204" s="40"/>
      <c r="G204" s="40">
        <f>G71+G72+G84+G85+G86+G87+G90+G125</f>
        <v>239567622</v>
      </c>
      <c r="H204" s="40">
        <f>H71+H72+H84+H85+H86+H87+H90+H125</f>
        <v>27259221</v>
      </c>
      <c r="I204" s="40">
        <f aca="true" t="shared" si="45" ref="I204:P204">I71+I72+I84+I85+I86+I87+I88+I125</f>
        <v>0</v>
      </c>
      <c r="J204" s="40">
        <f t="shared" si="45"/>
        <v>10362912</v>
      </c>
      <c r="K204" s="40">
        <f t="shared" si="45"/>
        <v>1353234</v>
      </c>
      <c r="L204" s="40">
        <f t="shared" si="45"/>
        <v>9009678</v>
      </c>
      <c r="M204" s="40">
        <f t="shared" si="45"/>
        <v>2270353</v>
      </c>
      <c r="N204" s="40">
        <f t="shared" si="45"/>
        <v>41558</v>
      </c>
      <c r="O204" s="40">
        <f t="shared" si="45"/>
        <v>1353234</v>
      </c>
      <c r="P204" s="40">
        <f t="shared" si="45"/>
        <v>296431095</v>
      </c>
    </row>
    <row r="205" spans="3:16" ht="23.25" hidden="1">
      <c r="C205" s="33">
        <v>2000</v>
      </c>
      <c r="D205" s="14"/>
      <c r="E205" s="40">
        <f>E25+E32+E34</f>
        <v>37665169</v>
      </c>
      <c r="F205" s="40"/>
      <c r="G205" s="40">
        <f aca="true" t="shared" si="46" ref="G205:P205">G25+G32+G34</f>
        <v>0</v>
      </c>
      <c r="H205" s="40">
        <f t="shared" si="46"/>
        <v>0</v>
      </c>
      <c r="I205" s="40">
        <f t="shared" si="46"/>
        <v>0</v>
      </c>
      <c r="J205" s="40">
        <f t="shared" si="46"/>
        <v>6563900</v>
      </c>
      <c r="K205" s="40">
        <f t="shared" si="46"/>
        <v>6563900</v>
      </c>
      <c r="L205" s="40">
        <f t="shared" si="46"/>
        <v>0</v>
      </c>
      <c r="M205" s="40">
        <f t="shared" si="46"/>
        <v>0</v>
      </c>
      <c r="N205" s="40">
        <f t="shared" si="46"/>
        <v>0</v>
      </c>
      <c r="O205" s="40">
        <f t="shared" si="46"/>
        <v>6563900</v>
      </c>
      <c r="P205" s="40">
        <f t="shared" si="46"/>
        <v>44229069</v>
      </c>
    </row>
    <row r="206" spans="3:16" ht="23.25" hidden="1">
      <c r="C206" s="33">
        <v>3000</v>
      </c>
      <c r="D206" s="14"/>
      <c r="E206" s="40">
        <f>E40+E41+E43+E104+E105+E106+E107+E110+E111+E112+E113+E114+E115+E116+E117+E119+E137+E138</f>
        <v>13192118</v>
      </c>
      <c r="F206" s="40"/>
      <c r="G206" s="40">
        <f aca="true" t="shared" si="47" ref="G206:P206">G40+G41+G43+G104+G105+G106+G107+G110+G111+G112+G113+G114+G115+G116+G117+G119+G137+G138</f>
        <v>6226537</v>
      </c>
      <c r="H206" s="40">
        <f t="shared" si="47"/>
        <v>467444</v>
      </c>
      <c r="I206" s="40">
        <f t="shared" si="47"/>
        <v>0</v>
      </c>
      <c r="J206" s="40">
        <f t="shared" si="47"/>
        <v>59400</v>
      </c>
      <c r="K206" s="40">
        <f t="shared" si="47"/>
        <v>0</v>
      </c>
      <c r="L206" s="40">
        <f t="shared" si="47"/>
        <v>59400</v>
      </c>
      <c r="M206" s="40">
        <f t="shared" si="47"/>
        <v>0</v>
      </c>
      <c r="N206" s="40">
        <f t="shared" si="47"/>
        <v>6588</v>
      </c>
      <c r="O206" s="40">
        <f t="shared" si="47"/>
        <v>0</v>
      </c>
      <c r="P206" s="40">
        <f t="shared" si="47"/>
        <v>13251518</v>
      </c>
    </row>
    <row r="207" spans="3:16" ht="23.25" hidden="1">
      <c r="C207" s="33">
        <v>4000</v>
      </c>
      <c r="D207" s="14"/>
      <c r="E207" s="40">
        <f aca="true" t="shared" si="48" ref="E207:P207">E126+E127+E128+E129+E130</f>
        <v>17229115</v>
      </c>
      <c r="F207" s="40"/>
      <c r="G207" s="40">
        <f t="shared" si="48"/>
        <v>13274149</v>
      </c>
      <c r="H207" s="40">
        <f t="shared" si="48"/>
        <v>2076541</v>
      </c>
      <c r="I207" s="40">
        <f t="shared" si="48"/>
        <v>0</v>
      </c>
      <c r="J207" s="40">
        <f t="shared" si="48"/>
        <v>1098342</v>
      </c>
      <c r="K207" s="40">
        <f t="shared" si="48"/>
        <v>915682</v>
      </c>
      <c r="L207" s="40">
        <f t="shared" si="48"/>
        <v>182660</v>
      </c>
      <c r="M207" s="40">
        <f t="shared" si="48"/>
        <v>18300</v>
      </c>
      <c r="N207" s="40">
        <f t="shared" si="48"/>
        <v>12890</v>
      </c>
      <c r="O207" s="40">
        <f t="shared" si="48"/>
        <v>915682</v>
      </c>
      <c r="P207" s="40">
        <f t="shared" si="48"/>
        <v>18327457</v>
      </c>
    </row>
    <row r="208" spans="3:16" ht="23.25" hidden="1">
      <c r="C208" s="33">
        <v>5000</v>
      </c>
      <c r="D208" s="14"/>
      <c r="E208" s="40">
        <f>E95+E140+E141+E142+E143+E144</f>
        <v>12218606</v>
      </c>
      <c r="F208" s="40"/>
      <c r="G208" s="40">
        <f aca="true" t="shared" si="49" ref="G208:P208">G95+G140+G141+G142+G143+G144</f>
        <v>5462119</v>
      </c>
      <c r="H208" s="40">
        <f t="shared" si="49"/>
        <v>409530</v>
      </c>
      <c r="I208" s="40">
        <f t="shared" si="49"/>
        <v>0</v>
      </c>
      <c r="J208" s="40">
        <f t="shared" si="49"/>
        <v>10000</v>
      </c>
      <c r="K208" s="40">
        <f t="shared" si="49"/>
        <v>10000</v>
      </c>
      <c r="L208" s="40">
        <f t="shared" si="49"/>
        <v>0</v>
      </c>
      <c r="M208" s="40">
        <f t="shared" si="49"/>
        <v>0</v>
      </c>
      <c r="N208" s="40">
        <f t="shared" si="49"/>
        <v>0</v>
      </c>
      <c r="O208" s="40">
        <f t="shared" si="49"/>
        <v>10000</v>
      </c>
      <c r="P208" s="40">
        <f t="shared" si="49"/>
        <v>12228606</v>
      </c>
    </row>
    <row r="209" spans="3:16" ht="23.25" hidden="1">
      <c r="C209" s="33">
        <v>6000</v>
      </c>
      <c r="D209" s="14"/>
      <c r="E209" s="40">
        <f>E44+E46+E45+E47+E48+E49+E51+E167+E168+E169+E170</f>
        <v>44972684</v>
      </c>
      <c r="F209" s="40"/>
      <c r="G209" s="40">
        <f aca="true" t="shared" si="50" ref="G209:P209">G44+G46+G45+G47+G48+G49+G51+G167+G168+G169+G170</f>
        <v>0</v>
      </c>
      <c r="H209" s="40">
        <f t="shared" si="50"/>
        <v>638452</v>
      </c>
      <c r="I209" s="40">
        <f t="shared" si="50"/>
        <v>0</v>
      </c>
      <c r="J209" s="40">
        <f t="shared" si="50"/>
        <v>776361</v>
      </c>
      <c r="K209" s="40">
        <f t="shared" si="50"/>
        <v>776361</v>
      </c>
      <c r="L209" s="40">
        <f t="shared" si="50"/>
        <v>0</v>
      </c>
      <c r="M209" s="40">
        <f t="shared" si="50"/>
        <v>0</v>
      </c>
      <c r="N209" s="40">
        <f t="shared" si="50"/>
        <v>0</v>
      </c>
      <c r="O209" s="40">
        <f t="shared" si="50"/>
        <v>776361</v>
      </c>
      <c r="P209" s="40">
        <f t="shared" si="50"/>
        <v>45749045</v>
      </c>
    </row>
    <row r="210" spans="3:16" ht="23.25" hidden="1">
      <c r="C210" s="33">
        <v>7000</v>
      </c>
      <c r="D210" s="14"/>
      <c r="E210" s="40">
        <f>E52+E56+E60+E61+E62+E63+E97+E121+E133+E147+E160+E171+E172+E173+E174+E175+E176+E153</f>
        <v>15163290</v>
      </c>
      <c r="F210" s="40"/>
      <c r="G210" s="40">
        <f aca="true" t="shared" si="51" ref="G210:P210">G52+G56+G60+G61+G62+G63+G97+G121+G133+G147+G160+G171+G172+G173+G174+G175+G176+G153</f>
        <v>350638</v>
      </c>
      <c r="H210" s="40">
        <f t="shared" si="51"/>
        <v>36848</v>
      </c>
      <c r="I210" s="40">
        <f t="shared" si="51"/>
        <v>0</v>
      </c>
      <c r="J210" s="40">
        <f t="shared" si="51"/>
        <v>18540686</v>
      </c>
      <c r="K210" s="40">
        <f t="shared" si="51"/>
        <v>18540686</v>
      </c>
      <c r="L210" s="40">
        <f t="shared" si="51"/>
        <v>0</v>
      </c>
      <c r="M210" s="40">
        <f t="shared" si="51"/>
        <v>0</v>
      </c>
      <c r="N210" s="40">
        <f t="shared" si="51"/>
        <v>0</v>
      </c>
      <c r="O210" s="40">
        <f t="shared" si="51"/>
        <v>18540686</v>
      </c>
      <c r="P210" s="40">
        <f t="shared" si="51"/>
        <v>33703976</v>
      </c>
    </row>
    <row r="211" spans="3:16" ht="23.25" hidden="1">
      <c r="C211" s="33">
        <v>8000</v>
      </c>
      <c r="D211" s="14"/>
      <c r="E211" s="40">
        <f>E64+E65+E66+E67+E162+E183</f>
        <v>5619938</v>
      </c>
      <c r="F211" s="40"/>
      <c r="G211" s="40">
        <f aca="true" t="shared" si="52" ref="G211:P211">G64+G65+G66+G67+G162+G183</f>
        <v>0</v>
      </c>
      <c r="H211" s="40">
        <f t="shared" si="52"/>
        <v>0</v>
      </c>
      <c r="I211" s="40">
        <f t="shared" si="52"/>
        <v>0</v>
      </c>
      <c r="J211" s="40">
        <f t="shared" si="52"/>
        <v>954203</v>
      </c>
      <c r="K211" s="40">
        <f t="shared" si="52"/>
        <v>28245</v>
      </c>
      <c r="L211" s="40">
        <f t="shared" si="52"/>
        <v>645958</v>
      </c>
      <c r="M211" s="40">
        <f t="shared" si="52"/>
        <v>0</v>
      </c>
      <c r="N211" s="40">
        <f t="shared" si="52"/>
        <v>0</v>
      </c>
      <c r="O211" s="40">
        <f t="shared" si="52"/>
        <v>308245</v>
      </c>
      <c r="P211" s="40">
        <f t="shared" si="52"/>
        <v>6574141</v>
      </c>
    </row>
    <row r="212" spans="3:16" ht="20.25" hidden="1">
      <c r="C212" s="33">
        <v>9000</v>
      </c>
      <c r="D212" s="14" t="s">
        <v>365</v>
      </c>
      <c r="E212" s="41">
        <v>11080290</v>
      </c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>
        <v>11080290</v>
      </c>
    </row>
    <row r="213" spans="3:16" ht="23.25" hidden="1">
      <c r="C213" s="14" t="s">
        <v>381</v>
      </c>
      <c r="D213" s="14"/>
      <c r="E213" s="40">
        <f>SUM(E202:E212)</f>
        <v>497636909</v>
      </c>
      <c r="F213" s="40"/>
      <c r="G213" s="40">
        <f aca="true" t="shared" si="53" ref="G213:P213">SUM(G202:G212)</f>
        <v>315085906</v>
      </c>
      <c r="H213" s="40">
        <f t="shared" si="53"/>
        <v>32807937</v>
      </c>
      <c r="I213" s="40">
        <f t="shared" si="53"/>
        <v>0</v>
      </c>
      <c r="J213" s="40">
        <f t="shared" si="53"/>
        <v>38720487</v>
      </c>
      <c r="K213" s="40">
        <f t="shared" si="53"/>
        <v>28391518</v>
      </c>
      <c r="L213" s="40">
        <f t="shared" si="53"/>
        <v>10048969</v>
      </c>
      <c r="M213" s="40">
        <f t="shared" si="53"/>
        <v>2306953</v>
      </c>
      <c r="N213" s="40">
        <f t="shared" si="53"/>
        <v>73626</v>
      </c>
      <c r="O213" s="40">
        <f t="shared" si="53"/>
        <v>28671518</v>
      </c>
      <c r="P213" s="40">
        <f t="shared" si="53"/>
        <v>537239460</v>
      </c>
    </row>
    <row r="214" ht="23.25" hidden="1"/>
    <row r="215" spans="5:16" ht="23.25" hidden="1">
      <c r="E215" s="10" t="e">
        <f>E197-E213-#REF!</f>
        <v>#REF!</v>
      </c>
      <c r="G215" s="10" t="e">
        <f>G197-G213-#REF!</f>
        <v>#REF!</v>
      </c>
      <c r="H215" s="10" t="e">
        <f>H197-H213-#REF!</f>
        <v>#REF!</v>
      </c>
      <c r="I215" s="10" t="e">
        <f>I197-I213-#REF!</f>
        <v>#REF!</v>
      </c>
      <c r="J215" s="10" t="e">
        <f>J197-J213-#REF!</f>
        <v>#REF!</v>
      </c>
      <c r="K215" s="10" t="e">
        <f>K197-K213-#REF!</f>
        <v>#REF!</v>
      </c>
      <c r="L215" s="10" t="e">
        <f>L197-L213-#REF!</f>
        <v>#REF!</v>
      </c>
      <c r="M215" s="10" t="e">
        <f>M197-M213-#REF!</f>
        <v>#REF!</v>
      </c>
      <c r="N215" s="10" t="e">
        <f>N197-N213-#REF!</f>
        <v>#REF!</v>
      </c>
      <c r="O215" s="10" t="e">
        <f>O197-O213-#REF!</f>
        <v>#REF!</v>
      </c>
      <c r="P215" s="10" t="e">
        <f>P197-P213-#REF!</f>
        <v>#REF!</v>
      </c>
    </row>
    <row r="216" ht="23.25" hidden="1"/>
    <row r="217" ht="23.25" hidden="1"/>
    <row r="218" ht="23.25" hidden="1"/>
    <row r="222" ht="23.25">
      <c r="K222" s="283"/>
    </row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202:D202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G1">
      <selection activeCell="N5" sqref="N5"/>
    </sheetView>
  </sheetViews>
  <sheetFormatPr defaultColWidth="9.00390625" defaultRowHeight="12.75"/>
  <cols>
    <col min="1" max="1" width="15.00390625" style="0" bestFit="1" customWidth="1"/>
    <col min="2" max="2" width="13.375" style="0" customWidth="1"/>
    <col min="3" max="3" width="14.375" style="0" customWidth="1"/>
    <col min="4" max="4" width="36.125" style="0" customWidth="1"/>
    <col min="5" max="5" width="10.25390625" style="0" customWidth="1"/>
    <col min="6" max="8" width="22.00390625" style="0" bestFit="1" customWidth="1"/>
    <col min="9" max="9" width="10.375" style="0" customWidth="1"/>
    <col min="10" max="10" width="22.00390625" style="0" bestFit="1" customWidth="1"/>
    <col min="11" max="11" width="21.875" style="0" bestFit="1" customWidth="1"/>
    <col min="12" max="12" width="20.375" style="0" bestFit="1" customWidth="1"/>
    <col min="13" max="13" width="10.75390625" style="0" customWidth="1"/>
    <col min="14" max="14" width="20.375" style="0" bestFit="1" customWidth="1"/>
    <col min="15" max="16" width="21.875" style="0" bestFit="1" customWidth="1"/>
  </cols>
  <sheetData>
    <row r="1" spans="14:15" ht="18.75">
      <c r="N1" s="30" t="s">
        <v>152</v>
      </c>
      <c r="O1" s="8"/>
    </row>
    <row r="2" spans="1:16" ht="18.75">
      <c r="A2" s="239"/>
      <c r="B2" s="239"/>
      <c r="I2" s="262"/>
      <c r="J2" s="2"/>
      <c r="K2" s="2"/>
      <c r="L2" s="2"/>
      <c r="M2" s="2"/>
      <c r="N2" s="46" t="s">
        <v>362</v>
      </c>
      <c r="O2" s="113"/>
      <c r="P2" s="2"/>
    </row>
    <row r="3" spans="14:15" ht="18.75">
      <c r="N3" s="30" t="s">
        <v>287</v>
      </c>
      <c r="O3" s="8"/>
    </row>
    <row r="4" spans="14:15" ht="18.75">
      <c r="N4" s="30" t="s">
        <v>363</v>
      </c>
      <c r="O4" s="8"/>
    </row>
    <row r="7" spans="1:16" ht="23.25" customHeight="1">
      <c r="A7" s="299" t="s">
        <v>288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1:16" ht="15.75">
      <c r="A8" s="112">
        <v>21528000000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ht="12.75">
      <c r="A9" s="1" t="s">
        <v>389</v>
      </c>
    </row>
    <row r="10" spans="1:16" ht="21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</row>
    <row r="11" ht="16.5" customHeight="1">
      <c r="P11" s="6" t="s">
        <v>369</v>
      </c>
    </row>
    <row r="12" spans="1:16" ht="34.5" customHeight="1">
      <c r="A12" s="291" t="s">
        <v>391</v>
      </c>
      <c r="B12" s="291" t="s">
        <v>392</v>
      </c>
      <c r="C12" s="291" t="s">
        <v>380</v>
      </c>
      <c r="D12" s="291" t="s">
        <v>393</v>
      </c>
      <c r="E12" s="291" t="s">
        <v>289</v>
      </c>
      <c r="F12" s="291"/>
      <c r="G12" s="291"/>
      <c r="H12" s="291"/>
      <c r="I12" s="291" t="s">
        <v>290</v>
      </c>
      <c r="J12" s="291"/>
      <c r="K12" s="291"/>
      <c r="L12" s="291"/>
      <c r="M12" s="291" t="s">
        <v>291</v>
      </c>
      <c r="N12" s="291"/>
      <c r="O12" s="291"/>
      <c r="P12" s="291"/>
    </row>
    <row r="13" spans="1:16" ht="12.75">
      <c r="A13" s="291"/>
      <c r="B13" s="291"/>
      <c r="C13" s="291"/>
      <c r="D13" s="291"/>
      <c r="E13" s="291" t="s">
        <v>292</v>
      </c>
      <c r="F13" s="291" t="s">
        <v>293</v>
      </c>
      <c r="G13" s="291"/>
      <c r="H13" s="291" t="s">
        <v>294</v>
      </c>
      <c r="I13" s="291" t="s">
        <v>292</v>
      </c>
      <c r="J13" s="291" t="s">
        <v>293</v>
      </c>
      <c r="K13" s="291"/>
      <c r="L13" s="291" t="s">
        <v>294</v>
      </c>
      <c r="M13" s="291" t="s">
        <v>292</v>
      </c>
      <c r="N13" s="291" t="s">
        <v>293</v>
      </c>
      <c r="O13" s="291"/>
      <c r="P13" s="291" t="s">
        <v>294</v>
      </c>
    </row>
    <row r="14" spans="1:16" ht="42" customHeight="1">
      <c r="A14" s="291"/>
      <c r="B14" s="291"/>
      <c r="C14" s="291"/>
      <c r="D14" s="291"/>
      <c r="E14" s="291"/>
      <c r="F14" s="172" t="s">
        <v>374</v>
      </c>
      <c r="G14" s="172" t="s">
        <v>375</v>
      </c>
      <c r="H14" s="291"/>
      <c r="I14" s="291"/>
      <c r="J14" s="172" t="s">
        <v>374</v>
      </c>
      <c r="K14" s="172" t="s">
        <v>375</v>
      </c>
      <c r="L14" s="291"/>
      <c r="M14" s="291"/>
      <c r="N14" s="172" t="s">
        <v>374</v>
      </c>
      <c r="O14" s="172" t="s">
        <v>375</v>
      </c>
      <c r="P14" s="291"/>
    </row>
    <row r="15" spans="1:16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172">
        <v>8</v>
      </c>
      <c r="I15" s="172">
        <v>9</v>
      </c>
      <c r="J15" s="172">
        <v>10</v>
      </c>
      <c r="K15" s="172">
        <v>11</v>
      </c>
      <c r="L15" s="172">
        <v>12</v>
      </c>
      <c r="M15" s="172">
        <v>13</v>
      </c>
      <c r="N15" s="172">
        <v>14</v>
      </c>
      <c r="O15" s="172">
        <v>15</v>
      </c>
      <c r="P15" s="172">
        <v>16</v>
      </c>
    </row>
    <row r="16" spans="1:16" ht="57.75" customHeight="1">
      <c r="A16" s="156">
        <v>3700000</v>
      </c>
      <c r="B16" s="156"/>
      <c r="C16" s="263"/>
      <c r="D16" s="264" t="s">
        <v>633</v>
      </c>
      <c r="E16" s="265"/>
      <c r="F16" s="266">
        <f>F18</f>
        <v>4629062</v>
      </c>
      <c r="G16" s="266">
        <f>G18</f>
        <v>4629062</v>
      </c>
      <c r="H16" s="266">
        <f>H18</f>
        <v>4629062</v>
      </c>
      <c r="I16" s="267"/>
      <c r="J16" s="266">
        <f>J19</f>
        <v>-1538406</v>
      </c>
      <c r="K16" s="266">
        <f>K19</f>
        <v>-1538406</v>
      </c>
      <c r="L16" s="266">
        <f>J16+I16</f>
        <v>-1538406</v>
      </c>
      <c r="M16" s="267"/>
      <c r="N16" s="266">
        <f>O16</f>
        <v>3090656</v>
      </c>
      <c r="O16" s="266">
        <f>O18+O19</f>
        <v>3090656</v>
      </c>
      <c r="P16" s="266">
        <f>M16+N16</f>
        <v>3090656</v>
      </c>
    </row>
    <row r="17" spans="1:16" ht="54.75" customHeight="1">
      <c r="A17" s="156">
        <v>3710000</v>
      </c>
      <c r="B17" s="156"/>
      <c r="C17" s="263"/>
      <c r="D17" s="264" t="s">
        <v>633</v>
      </c>
      <c r="E17" s="265"/>
      <c r="F17" s="266">
        <f>G17</f>
        <v>4629062</v>
      </c>
      <c r="G17" s="266">
        <f>G18</f>
        <v>4629062</v>
      </c>
      <c r="H17" s="266">
        <f>E17+F17</f>
        <v>4629062</v>
      </c>
      <c r="I17" s="267"/>
      <c r="J17" s="266">
        <f>K17</f>
        <v>-1538406</v>
      </c>
      <c r="K17" s="266">
        <f>K19</f>
        <v>-1538406</v>
      </c>
      <c r="L17" s="266">
        <f>I17+J17</f>
        <v>-1538406</v>
      </c>
      <c r="M17" s="267"/>
      <c r="N17" s="266">
        <f>O17</f>
        <v>3090656</v>
      </c>
      <c r="O17" s="266">
        <f>O18+O19</f>
        <v>3090656</v>
      </c>
      <c r="P17" s="266">
        <f>N17+M17</f>
        <v>3090656</v>
      </c>
    </row>
    <row r="18" spans="1:16" ht="93.75">
      <c r="A18" s="155">
        <v>3718881</v>
      </c>
      <c r="B18" s="155">
        <v>8881</v>
      </c>
      <c r="C18" s="268" t="s">
        <v>464</v>
      </c>
      <c r="D18" s="149" t="s">
        <v>77</v>
      </c>
      <c r="E18" s="265"/>
      <c r="F18" s="267">
        <f>G18</f>
        <v>4629062</v>
      </c>
      <c r="G18" s="267">
        <v>4629062</v>
      </c>
      <c r="H18" s="267">
        <f>E18+F18</f>
        <v>4629062</v>
      </c>
      <c r="I18" s="267"/>
      <c r="J18" s="267"/>
      <c r="K18" s="267"/>
      <c r="L18" s="267"/>
      <c r="M18" s="267"/>
      <c r="N18" s="267">
        <f>O18</f>
        <v>4629062</v>
      </c>
      <c r="O18" s="267">
        <f>K18+G18</f>
        <v>4629062</v>
      </c>
      <c r="P18" s="267">
        <f>M18+N18</f>
        <v>4629062</v>
      </c>
    </row>
    <row r="19" spans="1:16" ht="93.75">
      <c r="A19" s="155">
        <v>3718882</v>
      </c>
      <c r="B19" s="155">
        <v>8882</v>
      </c>
      <c r="C19" s="268" t="s">
        <v>464</v>
      </c>
      <c r="D19" s="269" t="s">
        <v>295</v>
      </c>
      <c r="E19" s="265"/>
      <c r="F19" s="270"/>
      <c r="G19" s="270"/>
      <c r="H19" s="270"/>
      <c r="I19" s="270"/>
      <c r="J19" s="267">
        <f>K19</f>
        <v>-1538406</v>
      </c>
      <c r="K19" s="267">
        <v>-1538406</v>
      </c>
      <c r="L19" s="267">
        <f>I19+J19</f>
        <v>-1538406</v>
      </c>
      <c r="M19" s="267">
        <f>I19+E19</f>
        <v>0</v>
      </c>
      <c r="N19" s="267">
        <f>O19</f>
        <v>-1538406</v>
      </c>
      <c r="O19" s="267">
        <f>K19+G19</f>
        <v>-1538406</v>
      </c>
      <c r="P19" s="267">
        <f>M19+N19</f>
        <v>-1538406</v>
      </c>
    </row>
    <row r="20" spans="1:16" ht="18.75">
      <c r="A20" s="265"/>
      <c r="B20" s="180" t="s">
        <v>765</v>
      </c>
      <c r="C20" s="180" t="s">
        <v>765</v>
      </c>
      <c r="D20" s="180" t="s">
        <v>387</v>
      </c>
      <c r="E20" s="265"/>
      <c r="F20" s="266">
        <f>F10+F16</f>
        <v>4629062</v>
      </c>
      <c r="G20" s="266">
        <f>G10+G16</f>
        <v>4629062</v>
      </c>
      <c r="H20" s="266">
        <f>F20+E20</f>
        <v>4629062</v>
      </c>
      <c r="I20" s="266"/>
      <c r="J20" s="266">
        <f>J10+J16</f>
        <v>-1538406</v>
      </c>
      <c r="K20" s="266">
        <f>K10+K16</f>
        <v>-1538406</v>
      </c>
      <c r="L20" s="266">
        <f>J20+I20</f>
        <v>-1538406</v>
      </c>
      <c r="M20" s="266"/>
      <c r="N20" s="266">
        <f>N10+N16</f>
        <v>3090656</v>
      </c>
      <c r="O20" s="266">
        <f>O10+O16</f>
        <v>3090656</v>
      </c>
      <c r="P20" s="266">
        <f>N20+M20</f>
        <v>3090656</v>
      </c>
    </row>
    <row r="21" ht="27.75" customHeight="1"/>
    <row r="22" ht="15.75" customHeight="1"/>
    <row r="23" ht="17.25" customHeight="1"/>
    <row r="24" spans="3:13" ht="18.75">
      <c r="C24" s="30" t="s">
        <v>699</v>
      </c>
      <c r="D24" s="30"/>
      <c r="E24" s="30"/>
      <c r="F24" s="31"/>
      <c r="G24" s="31"/>
      <c r="H24" s="31"/>
      <c r="I24" s="31"/>
      <c r="J24" s="31"/>
      <c r="K24" s="31"/>
      <c r="L24" s="30" t="s">
        <v>700</v>
      </c>
      <c r="M24" s="31"/>
    </row>
    <row r="25" spans="3:13" ht="18" customHeight="1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</sheetData>
  <sheetProtection/>
  <mergeCells count="18">
    <mergeCell ref="N13:O13"/>
    <mergeCell ref="P13:P14"/>
    <mergeCell ref="F13:G13"/>
    <mergeCell ref="H13:H14"/>
    <mergeCell ref="I13:I14"/>
    <mergeCell ref="J13:K13"/>
    <mergeCell ref="L13:L14"/>
    <mergeCell ref="M13:M14"/>
    <mergeCell ref="A7:P7"/>
    <mergeCell ref="A10:P10"/>
    <mergeCell ref="A12:A14"/>
    <mergeCell ref="B12:B14"/>
    <mergeCell ref="C12:C14"/>
    <mergeCell ref="D12:D14"/>
    <mergeCell ref="E12:H12"/>
    <mergeCell ref="I12:L12"/>
    <mergeCell ref="M12:P12"/>
    <mergeCell ref="E13:E14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F28">
      <selection activeCell="N5" sqref="N5"/>
    </sheetView>
  </sheetViews>
  <sheetFormatPr defaultColWidth="9.00390625" defaultRowHeight="12.75"/>
  <cols>
    <col min="1" max="1" width="15.75390625" style="0" customWidth="1"/>
    <col min="2" max="2" width="23.875" style="0" customWidth="1"/>
    <col min="3" max="3" width="16.75390625" style="0" customWidth="1"/>
    <col min="4" max="4" width="16.625" style="0" customWidth="1"/>
    <col min="5" max="5" width="16.75390625" style="0" customWidth="1"/>
    <col min="6" max="6" width="14.375" style="0" customWidth="1"/>
    <col min="7" max="7" width="13.75390625" style="0" customWidth="1"/>
    <col min="8" max="8" width="11.375" style="0" customWidth="1"/>
    <col min="9" max="9" width="13.00390625" style="0" customWidth="1"/>
    <col min="10" max="10" width="26.875" style="0" customWidth="1"/>
    <col min="11" max="11" width="15.75390625" style="0" hidden="1" customWidth="1"/>
    <col min="12" max="12" width="17.00390625" style="0" customWidth="1"/>
    <col min="13" max="13" width="22.375" style="0" customWidth="1"/>
    <col min="14" max="14" width="25.375" style="0" customWidth="1"/>
    <col min="15" max="15" width="17.375" style="0" customWidth="1"/>
    <col min="16" max="16" width="27.625" style="0" customWidth="1"/>
    <col min="17" max="17" width="13.125" style="0" customWidth="1"/>
    <col min="18" max="18" width="21.375" style="0" customWidth="1"/>
    <col min="19" max="19" width="20.625" style="0" customWidth="1"/>
    <col min="20" max="20" width="13.125" style="0" customWidth="1"/>
    <col min="21" max="21" width="12.125" style="0" customWidth="1"/>
    <col min="22" max="22" width="27.00390625" style="0" customWidth="1"/>
    <col min="23" max="23" width="16.25390625" style="0" customWidth="1"/>
    <col min="24" max="24" width="20.75390625" style="0" customWidth="1"/>
    <col min="25" max="25" width="16.00390625" style="0" customWidth="1"/>
    <col min="26" max="26" width="13.00390625" style="0" customWidth="1"/>
    <col min="27" max="27" width="11.875" style="0" customWidth="1"/>
    <col min="28" max="28" width="15.125" style="0" customWidth="1"/>
    <col min="29" max="29" width="15.25390625" style="0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9"/>
      <c r="N1" s="30" t="s">
        <v>192</v>
      </c>
      <c r="Q1" s="30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9"/>
      <c r="N2" s="46" t="s">
        <v>362</v>
      </c>
      <c r="Q2" s="46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9"/>
      <c r="N3" s="30" t="s">
        <v>287</v>
      </c>
      <c r="Q3" s="30"/>
    </row>
    <row r="4" spans="1:17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9"/>
      <c r="N4" s="30" t="s">
        <v>363</v>
      </c>
      <c r="Q4" s="30"/>
    </row>
    <row r="5" spans="1:17" ht="15.75">
      <c r="A5" s="19"/>
      <c r="B5" s="19"/>
      <c r="C5" s="19"/>
      <c r="D5" s="200"/>
      <c r="E5" s="200"/>
      <c r="F5" s="200"/>
      <c r="G5" s="200"/>
      <c r="H5" s="200"/>
      <c r="I5" s="200"/>
      <c r="J5" s="200"/>
      <c r="K5" s="200"/>
      <c r="L5" s="8"/>
      <c r="M5" s="8"/>
      <c r="N5" s="8"/>
      <c r="O5" s="8"/>
      <c r="P5" s="8"/>
      <c r="Q5" s="201"/>
    </row>
    <row r="6" spans="2:17" ht="29.25" customHeight="1">
      <c r="B6" s="202"/>
      <c r="C6" s="202"/>
      <c r="D6" s="352" t="s">
        <v>155</v>
      </c>
      <c r="E6" s="352"/>
      <c r="F6" s="352"/>
      <c r="G6" s="353"/>
      <c r="H6" s="353"/>
      <c r="I6" s="353"/>
      <c r="J6" s="353"/>
      <c r="K6" s="353"/>
      <c r="L6" s="353"/>
      <c r="M6" s="353"/>
      <c r="N6" s="203"/>
      <c r="O6" s="203"/>
      <c r="P6" s="203"/>
      <c r="Q6" s="202"/>
    </row>
    <row r="7" spans="1:17" ht="18.75">
      <c r="A7" s="204">
        <v>21528000000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7" ht="12.75">
      <c r="A8" s="206" t="s">
        <v>389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1:17" ht="13.5" thickBot="1">
      <c r="A9" s="207"/>
      <c r="B9" s="201"/>
      <c r="C9" s="201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spans="1:29" ht="30.75" customHeight="1">
      <c r="A10" s="292" t="s">
        <v>156</v>
      </c>
      <c r="B10" s="334" t="s">
        <v>157</v>
      </c>
      <c r="C10" s="338" t="s">
        <v>158</v>
      </c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40"/>
      <c r="R10" s="361" t="s">
        <v>159</v>
      </c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2"/>
    </row>
    <row r="11" spans="1:29" ht="30" customHeight="1">
      <c r="A11" s="293"/>
      <c r="B11" s="335"/>
      <c r="C11" s="363" t="s">
        <v>160</v>
      </c>
      <c r="D11" s="354" t="s">
        <v>161</v>
      </c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56"/>
      <c r="P11" s="355"/>
      <c r="Q11" s="365" t="s">
        <v>374</v>
      </c>
      <c r="R11" s="370" t="s">
        <v>161</v>
      </c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68" t="s">
        <v>374</v>
      </c>
    </row>
    <row r="12" spans="1:29" ht="24" customHeight="1">
      <c r="A12" s="293"/>
      <c r="B12" s="335"/>
      <c r="C12" s="364"/>
      <c r="D12" s="377" t="s">
        <v>162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67"/>
      <c r="P12" s="209" t="s">
        <v>350</v>
      </c>
      <c r="Q12" s="366"/>
      <c r="R12" s="370" t="s">
        <v>162</v>
      </c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69"/>
    </row>
    <row r="13" spans="1:29" ht="42" customHeight="1">
      <c r="A13" s="294"/>
      <c r="B13" s="336"/>
      <c r="C13" s="341" t="s">
        <v>163</v>
      </c>
      <c r="D13" s="375" t="s">
        <v>164</v>
      </c>
      <c r="E13" s="357" t="s">
        <v>165</v>
      </c>
      <c r="F13" s="357" t="s">
        <v>165</v>
      </c>
      <c r="G13" s="346" t="s">
        <v>166</v>
      </c>
      <c r="H13" s="347"/>
      <c r="I13" s="350" t="s">
        <v>167</v>
      </c>
      <c r="J13" s="342"/>
      <c r="K13" s="342"/>
      <c r="L13" s="359" t="s">
        <v>168</v>
      </c>
      <c r="M13" s="285" t="s">
        <v>698</v>
      </c>
      <c r="N13" s="341" t="s">
        <v>347</v>
      </c>
      <c r="O13" s="370" t="s">
        <v>169</v>
      </c>
      <c r="P13" s="286" t="s">
        <v>698</v>
      </c>
      <c r="Q13" s="366"/>
      <c r="R13" s="211" t="s">
        <v>698</v>
      </c>
      <c r="S13" s="371" t="s">
        <v>724</v>
      </c>
      <c r="T13" s="351"/>
      <c r="U13" s="351"/>
      <c r="V13" s="351"/>
      <c r="W13" s="351"/>
      <c r="X13" s="351"/>
      <c r="Y13" s="351"/>
      <c r="Z13" s="351"/>
      <c r="AA13" s="351"/>
      <c r="AB13" s="351"/>
      <c r="AC13" s="369"/>
    </row>
    <row r="14" spans="1:29" ht="102.75" customHeight="1">
      <c r="A14" s="294"/>
      <c r="B14" s="336"/>
      <c r="C14" s="373"/>
      <c r="D14" s="351"/>
      <c r="E14" s="358"/>
      <c r="F14" s="358"/>
      <c r="G14" s="348"/>
      <c r="H14" s="349"/>
      <c r="I14" s="351"/>
      <c r="J14" s="351"/>
      <c r="K14" s="351"/>
      <c r="L14" s="360"/>
      <c r="M14" s="341" t="s">
        <v>170</v>
      </c>
      <c r="N14" s="358"/>
      <c r="O14" s="370"/>
      <c r="P14" s="209" t="s">
        <v>351</v>
      </c>
      <c r="Q14" s="366"/>
      <c r="R14" s="371" t="s">
        <v>171</v>
      </c>
      <c r="S14" s="370" t="s">
        <v>725</v>
      </c>
      <c r="T14" s="370" t="s">
        <v>726</v>
      </c>
      <c r="U14" s="370"/>
      <c r="V14" s="370" t="s">
        <v>727</v>
      </c>
      <c r="W14" s="370" t="s">
        <v>728</v>
      </c>
      <c r="X14" s="370" t="s">
        <v>729</v>
      </c>
      <c r="Y14" s="370" t="s">
        <v>730</v>
      </c>
      <c r="Z14" s="370" t="s">
        <v>763</v>
      </c>
      <c r="AA14" s="370"/>
      <c r="AB14" s="370" t="s">
        <v>762</v>
      </c>
      <c r="AC14" s="369"/>
    </row>
    <row r="15" spans="1:29" ht="99" customHeight="1">
      <c r="A15" s="294"/>
      <c r="B15" s="336"/>
      <c r="C15" s="373"/>
      <c r="D15" s="351"/>
      <c r="E15" s="342"/>
      <c r="F15" s="358"/>
      <c r="G15" s="344" t="s">
        <v>172</v>
      </c>
      <c r="H15" s="345"/>
      <c r="I15" s="341" t="s">
        <v>173</v>
      </c>
      <c r="J15" s="341" t="s">
        <v>174</v>
      </c>
      <c r="K15" s="341" t="s">
        <v>175</v>
      </c>
      <c r="L15" s="341" t="s">
        <v>176</v>
      </c>
      <c r="M15" s="360"/>
      <c r="N15" s="358"/>
      <c r="O15" s="370"/>
      <c r="P15" s="341" t="s">
        <v>352</v>
      </c>
      <c r="Q15" s="366"/>
      <c r="R15" s="372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69"/>
    </row>
    <row r="16" spans="1:29" ht="185.25" customHeight="1">
      <c r="A16" s="294"/>
      <c r="B16" s="336"/>
      <c r="C16" s="374"/>
      <c r="D16" s="210" t="s">
        <v>348</v>
      </c>
      <c r="E16" s="210" t="s">
        <v>349</v>
      </c>
      <c r="F16" s="342"/>
      <c r="G16" s="209" t="s">
        <v>382</v>
      </c>
      <c r="H16" s="212" t="s">
        <v>384</v>
      </c>
      <c r="I16" s="342"/>
      <c r="J16" s="342"/>
      <c r="K16" s="342"/>
      <c r="L16" s="343"/>
      <c r="M16" s="343"/>
      <c r="N16" s="342"/>
      <c r="O16" s="209" t="s">
        <v>176</v>
      </c>
      <c r="P16" s="342"/>
      <c r="Q16" s="366"/>
      <c r="R16" s="372"/>
      <c r="S16" s="209" t="s">
        <v>384</v>
      </c>
      <c r="T16" s="209" t="s">
        <v>382</v>
      </c>
      <c r="U16" s="209" t="s">
        <v>384</v>
      </c>
      <c r="V16" s="209" t="s">
        <v>382</v>
      </c>
      <c r="W16" s="209" t="s">
        <v>382</v>
      </c>
      <c r="X16" s="209" t="s">
        <v>382</v>
      </c>
      <c r="Y16" s="209" t="s">
        <v>382</v>
      </c>
      <c r="Z16" s="209" t="s">
        <v>382</v>
      </c>
      <c r="AA16" s="209" t="s">
        <v>384</v>
      </c>
      <c r="AB16" s="209" t="s">
        <v>382</v>
      </c>
      <c r="AC16" s="369"/>
    </row>
    <row r="17" spans="1:29" ht="21.75" customHeight="1">
      <c r="A17" s="295"/>
      <c r="B17" s="337"/>
      <c r="C17" s="210">
        <v>41040200</v>
      </c>
      <c r="D17" s="210">
        <v>41051000</v>
      </c>
      <c r="E17" s="354">
        <v>41051100</v>
      </c>
      <c r="F17" s="355"/>
      <c r="G17" s="354">
        <v>41051200</v>
      </c>
      <c r="H17" s="355"/>
      <c r="I17" s="354">
        <v>41051400</v>
      </c>
      <c r="J17" s="356"/>
      <c r="K17" s="213"/>
      <c r="L17" s="214">
        <v>41051500</v>
      </c>
      <c r="M17" s="214">
        <v>41053900</v>
      </c>
      <c r="N17" s="210">
        <v>41054900</v>
      </c>
      <c r="O17" s="209">
        <v>41055000</v>
      </c>
      <c r="P17" s="210">
        <v>41053900</v>
      </c>
      <c r="Q17" s="367"/>
      <c r="R17" s="209">
        <v>9770</v>
      </c>
      <c r="S17" s="354">
        <v>9800</v>
      </c>
      <c r="T17" s="356"/>
      <c r="U17" s="356"/>
      <c r="V17" s="356"/>
      <c r="W17" s="356"/>
      <c r="X17" s="356"/>
      <c r="Y17" s="356"/>
      <c r="Z17" s="356"/>
      <c r="AA17" s="356"/>
      <c r="AB17" s="355"/>
      <c r="AC17" s="369"/>
    </row>
    <row r="18" spans="1:29" ht="12.75">
      <c r="A18" s="215">
        <v>1</v>
      </c>
      <c r="B18" s="216">
        <v>2</v>
      </c>
      <c r="C18" s="217">
        <v>3</v>
      </c>
      <c r="D18" s="218" t="s">
        <v>177</v>
      </c>
      <c r="E18" s="218" t="s">
        <v>178</v>
      </c>
      <c r="F18" s="218" t="s">
        <v>179</v>
      </c>
      <c r="G18" s="218" t="s">
        <v>180</v>
      </c>
      <c r="H18" s="218" t="s">
        <v>181</v>
      </c>
      <c r="I18" s="218" t="s">
        <v>182</v>
      </c>
      <c r="J18" s="217">
        <v>10</v>
      </c>
      <c r="K18" s="217">
        <v>10</v>
      </c>
      <c r="L18" s="217">
        <v>11</v>
      </c>
      <c r="M18" s="217">
        <v>12</v>
      </c>
      <c r="N18" s="217">
        <v>13</v>
      </c>
      <c r="O18" s="217">
        <v>14</v>
      </c>
      <c r="P18" s="217">
        <v>15</v>
      </c>
      <c r="Q18" s="217">
        <v>16</v>
      </c>
      <c r="R18" s="217">
        <v>17</v>
      </c>
      <c r="S18" s="217">
        <v>18</v>
      </c>
      <c r="T18" s="217">
        <v>19</v>
      </c>
      <c r="U18" s="217">
        <v>20</v>
      </c>
      <c r="V18" s="217">
        <v>21</v>
      </c>
      <c r="W18" s="217">
        <v>22</v>
      </c>
      <c r="X18" s="217">
        <v>23</v>
      </c>
      <c r="Y18" s="217">
        <v>24</v>
      </c>
      <c r="Z18" s="217">
        <v>25</v>
      </c>
      <c r="AA18" s="217">
        <v>26</v>
      </c>
      <c r="AB18" s="217">
        <v>27</v>
      </c>
      <c r="AC18" s="271">
        <v>28</v>
      </c>
    </row>
    <row r="19" spans="1:31" ht="21" customHeight="1">
      <c r="A19" s="215"/>
      <c r="B19" s="219" t="s">
        <v>183</v>
      </c>
      <c r="C19" s="217"/>
      <c r="D19" s="218"/>
      <c r="E19" s="218"/>
      <c r="F19" s="218"/>
      <c r="G19" s="218"/>
      <c r="H19" s="218"/>
      <c r="I19" s="218"/>
      <c r="J19" s="218"/>
      <c r="K19" s="218"/>
      <c r="L19" s="217"/>
      <c r="M19" s="217"/>
      <c r="N19" s="217"/>
      <c r="O19" s="217"/>
      <c r="P19" s="217"/>
      <c r="Q19" s="217"/>
      <c r="R19" s="217"/>
      <c r="S19" s="220">
        <v>300000</v>
      </c>
      <c r="T19" s="220">
        <v>190000</v>
      </c>
      <c r="U19" s="220">
        <v>60000</v>
      </c>
      <c r="V19" s="220">
        <v>150000</v>
      </c>
      <c r="W19" s="220">
        <v>100000</v>
      </c>
      <c r="X19" s="220">
        <v>69650</v>
      </c>
      <c r="Y19" s="220">
        <v>48500</v>
      </c>
      <c r="Z19" s="220">
        <v>15000</v>
      </c>
      <c r="AA19" s="220">
        <v>45000</v>
      </c>
      <c r="AB19" s="220">
        <v>200000</v>
      </c>
      <c r="AC19" s="272">
        <f>SUM(S19:AB19)</f>
        <v>1178150</v>
      </c>
      <c r="AE19" s="258"/>
    </row>
    <row r="20" spans="1:29" ht="24" customHeight="1">
      <c r="A20" s="221">
        <v>21100000000</v>
      </c>
      <c r="B20" s="219" t="s">
        <v>184</v>
      </c>
      <c r="C20" s="220">
        <v>1256800</v>
      </c>
      <c r="D20" s="222">
        <v>844767</v>
      </c>
      <c r="E20" s="222">
        <v>243600</v>
      </c>
      <c r="F20" s="222"/>
      <c r="G20" s="222">
        <f>135900+113250+467964</f>
        <v>717114</v>
      </c>
      <c r="H20" s="222">
        <f>144000+120000-44583</f>
        <v>219417</v>
      </c>
      <c r="I20" s="222">
        <f>1553059+2418</f>
        <v>1555477</v>
      </c>
      <c r="J20" s="222">
        <v>174825</v>
      </c>
      <c r="K20" s="222">
        <f>328856-328856</f>
        <v>0</v>
      </c>
      <c r="L20" s="222">
        <v>432000</v>
      </c>
      <c r="M20" s="222">
        <v>147000</v>
      </c>
      <c r="N20" s="222">
        <v>935007</v>
      </c>
      <c r="O20" s="222">
        <v>1402800</v>
      </c>
      <c r="P20" s="222">
        <v>500000</v>
      </c>
      <c r="Q20" s="222">
        <f>SUM(C20:P20)</f>
        <v>8428807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73"/>
    </row>
    <row r="21" spans="1:29" ht="38.25" customHeight="1">
      <c r="A21" s="223">
        <v>21203701000</v>
      </c>
      <c r="B21" s="224" t="s">
        <v>185</v>
      </c>
      <c r="C21" s="220"/>
      <c r="D21" s="222"/>
      <c r="E21" s="222"/>
      <c r="F21" s="222"/>
      <c r="G21" s="222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0">
        <v>202048</v>
      </c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72">
        <f>R21</f>
        <v>202048</v>
      </c>
    </row>
    <row r="22" spans="1:29" ht="53.25" customHeight="1">
      <c r="A22" s="226">
        <v>21301200000</v>
      </c>
      <c r="B22" s="227" t="s">
        <v>186</v>
      </c>
      <c r="C22" s="228"/>
      <c r="D22" s="229"/>
      <c r="E22" s="229"/>
      <c r="F22" s="229">
        <v>569344</v>
      </c>
      <c r="G22" s="229"/>
      <c r="H22" s="225"/>
      <c r="I22" s="225"/>
      <c r="J22" s="225"/>
      <c r="K22" s="225"/>
      <c r="L22" s="225"/>
      <c r="M22" s="225"/>
      <c r="N22" s="225"/>
      <c r="O22" s="225"/>
      <c r="P22" s="225"/>
      <c r="Q22" s="225">
        <f>SUM(C22:O22)</f>
        <v>569344</v>
      </c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74"/>
    </row>
    <row r="23" spans="1:29" ht="26.25" customHeight="1" thickBot="1">
      <c r="A23" s="231" t="s">
        <v>388</v>
      </c>
      <c r="B23" s="232" t="s">
        <v>387</v>
      </c>
      <c r="C23" s="233">
        <f>SUM(C20:C20)</f>
        <v>1256800</v>
      </c>
      <c r="D23" s="233">
        <f aca="true" t="shared" si="0" ref="D23:P23">D20</f>
        <v>844767</v>
      </c>
      <c r="E23" s="233">
        <f t="shared" si="0"/>
        <v>243600</v>
      </c>
      <c r="F23" s="233">
        <f>F22</f>
        <v>569344</v>
      </c>
      <c r="G23" s="233">
        <f t="shared" si="0"/>
        <v>717114</v>
      </c>
      <c r="H23" s="233">
        <f t="shared" si="0"/>
        <v>219417</v>
      </c>
      <c r="I23" s="233">
        <f t="shared" si="0"/>
        <v>1555477</v>
      </c>
      <c r="J23" s="233">
        <f t="shared" si="0"/>
        <v>174825</v>
      </c>
      <c r="K23" s="233">
        <f t="shared" si="0"/>
        <v>0</v>
      </c>
      <c r="L23" s="233">
        <f t="shared" si="0"/>
        <v>432000</v>
      </c>
      <c r="M23" s="233">
        <f t="shared" si="0"/>
        <v>147000</v>
      </c>
      <c r="N23" s="233">
        <f t="shared" si="0"/>
        <v>935007</v>
      </c>
      <c r="O23" s="233">
        <f t="shared" si="0"/>
        <v>1402800</v>
      </c>
      <c r="P23" s="233">
        <f t="shared" si="0"/>
        <v>500000</v>
      </c>
      <c r="Q23" s="233">
        <f>Q20+Q22</f>
        <v>8998151</v>
      </c>
      <c r="R23" s="234">
        <f>R20+R21</f>
        <v>202048</v>
      </c>
      <c r="S23" s="234">
        <f>S19</f>
        <v>300000</v>
      </c>
      <c r="T23" s="234">
        <f aca="true" t="shared" si="1" ref="T23:AB23">T19</f>
        <v>190000</v>
      </c>
      <c r="U23" s="234">
        <f t="shared" si="1"/>
        <v>60000</v>
      </c>
      <c r="V23" s="234">
        <f t="shared" si="1"/>
        <v>150000</v>
      </c>
      <c r="W23" s="234">
        <f t="shared" si="1"/>
        <v>100000</v>
      </c>
      <c r="X23" s="234">
        <f t="shared" si="1"/>
        <v>69650</v>
      </c>
      <c r="Y23" s="234">
        <f t="shared" si="1"/>
        <v>48500</v>
      </c>
      <c r="Z23" s="234">
        <f t="shared" si="1"/>
        <v>15000</v>
      </c>
      <c r="AA23" s="234">
        <f t="shared" si="1"/>
        <v>45000</v>
      </c>
      <c r="AB23" s="234">
        <f t="shared" si="1"/>
        <v>200000</v>
      </c>
      <c r="AC23" s="275">
        <f>AC19+AC21</f>
        <v>1380198</v>
      </c>
    </row>
    <row r="24" spans="1:29" ht="18.75">
      <c r="A24" s="235"/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38"/>
    </row>
    <row r="25" spans="1:29" ht="10.5" customHeight="1">
      <c r="A25" s="235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38"/>
    </row>
    <row r="26" spans="1:29" ht="11.25" customHeight="1">
      <c r="A26" s="235"/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38"/>
    </row>
    <row r="27" spans="4:28" ht="18.75">
      <c r="D27" s="31"/>
      <c r="E27" s="31"/>
      <c r="F27" s="31"/>
      <c r="G27" s="31"/>
      <c r="H27" s="31"/>
      <c r="I27" s="31"/>
      <c r="J27" s="31"/>
      <c r="K27" s="31"/>
      <c r="L27" s="31"/>
      <c r="M27" s="31"/>
      <c r="Q27" s="30"/>
      <c r="R27" s="30" t="s">
        <v>699</v>
      </c>
      <c r="S27" s="31"/>
      <c r="T27" s="31"/>
      <c r="U27" s="31"/>
      <c r="V27" s="31"/>
      <c r="W27" s="31"/>
      <c r="X27" s="31"/>
      <c r="Y27" s="31"/>
      <c r="Z27" s="31"/>
      <c r="AA27" s="31"/>
      <c r="AB27" s="30" t="s">
        <v>299</v>
      </c>
    </row>
  </sheetData>
  <sheetProtection/>
  <mergeCells count="42">
    <mergeCell ref="R11:AB11"/>
    <mergeCell ref="R12:AB12"/>
    <mergeCell ref="S13:AB13"/>
    <mergeCell ref="S14:S15"/>
    <mergeCell ref="T14:U15"/>
    <mergeCell ref="V14:V15"/>
    <mergeCell ref="W14:W15"/>
    <mergeCell ref="S17:AB17"/>
    <mergeCell ref="X14:X15"/>
    <mergeCell ref="Y14:Y15"/>
    <mergeCell ref="Z14:AA15"/>
    <mergeCell ref="AB14:AB15"/>
    <mergeCell ref="R10:AC10"/>
    <mergeCell ref="C11:C12"/>
    <mergeCell ref="Q11:Q17"/>
    <mergeCell ref="AC11:AC17"/>
    <mergeCell ref="O13:O15"/>
    <mergeCell ref="M14:M16"/>
    <mergeCell ref="R14:R16"/>
    <mergeCell ref="N13:N16"/>
    <mergeCell ref="C13:C16"/>
    <mergeCell ref="D13:D15"/>
    <mergeCell ref="D6:M6"/>
    <mergeCell ref="E17:F17"/>
    <mergeCell ref="G17:H17"/>
    <mergeCell ref="I17:J17"/>
    <mergeCell ref="E13:E15"/>
    <mergeCell ref="L13:L14"/>
    <mergeCell ref="F13:F16"/>
    <mergeCell ref="D11:P11"/>
    <mergeCell ref="P15:P16"/>
    <mergeCell ref="D12:O12"/>
    <mergeCell ref="A10:A17"/>
    <mergeCell ref="B10:B17"/>
    <mergeCell ref="C10:Q10"/>
    <mergeCell ref="K15:K16"/>
    <mergeCell ref="L15:L16"/>
    <mergeCell ref="G15:H15"/>
    <mergeCell ref="I15:I16"/>
    <mergeCell ref="J15:J16"/>
    <mergeCell ref="G13:H14"/>
    <mergeCell ref="I13:K1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D1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4.25390625" style="0" customWidth="1"/>
    <col min="4" max="4" width="39.00390625" style="0" customWidth="1"/>
    <col min="5" max="5" width="74.125" style="0" customWidth="1"/>
    <col min="6" max="6" width="16.625" style="0" customWidth="1"/>
    <col min="7" max="7" width="14.125" style="0" customWidth="1"/>
    <col min="8" max="8" width="12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296</v>
      </c>
      <c r="I1" s="30"/>
      <c r="J1" s="30"/>
    </row>
    <row r="2" spans="8:10" ht="18.75">
      <c r="H2" s="46" t="s">
        <v>362</v>
      </c>
      <c r="I2" s="46"/>
      <c r="J2" s="30"/>
    </row>
    <row r="3" spans="8:10" ht="18.75">
      <c r="H3" s="30" t="s">
        <v>287</v>
      </c>
      <c r="I3" s="30"/>
      <c r="J3" s="30"/>
    </row>
    <row r="4" spans="8:10" ht="18.75">
      <c r="H4" s="30" t="s">
        <v>363</v>
      </c>
      <c r="I4" s="30"/>
      <c r="J4" s="30"/>
    </row>
    <row r="6" spans="1:10" ht="12.75">
      <c r="A6" s="392" t="s">
        <v>82</v>
      </c>
      <c r="B6" s="392"/>
      <c r="C6" s="392"/>
      <c r="D6" s="392"/>
      <c r="E6" s="392"/>
      <c r="F6" s="392"/>
      <c r="G6" s="392"/>
      <c r="H6" s="392"/>
      <c r="I6" s="392"/>
      <c r="J6" s="392"/>
    </row>
    <row r="7" spans="1:10" ht="36.75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</row>
    <row r="8" spans="1:10" ht="15.75" customHeight="1">
      <c r="A8" s="183" t="s">
        <v>364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2" t="s">
        <v>389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2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93" t="s">
        <v>391</v>
      </c>
      <c r="B11" s="393" t="s">
        <v>392</v>
      </c>
      <c r="C11" s="393" t="s">
        <v>380</v>
      </c>
      <c r="D11" s="393" t="s">
        <v>83</v>
      </c>
      <c r="E11" s="393" t="s">
        <v>84</v>
      </c>
      <c r="F11" s="393" t="s">
        <v>85</v>
      </c>
      <c r="G11" s="393" t="s">
        <v>86</v>
      </c>
      <c r="H11" s="393" t="s">
        <v>87</v>
      </c>
      <c r="I11" s="393" t="s">
        <v>88</v>
      </c>
      <c r="J11" s="393" t="s">
        <v>89</v>
      </c>
    </row>
    <row r="12" spans="1:10" ht="27.75" customHeight="1">
      <c r="A12" s="393"/>
      <c r="B12" s="393"/>
      <c r="C12" s="393"/>
      <c r="D12" s="393"/>
      <c r="E12" s="393"/>
      <c r="F12" s="393"/>
      <c r="G12" s="393"/>
      <c r="H12" s="393"/>
      <c r="I12" s="393"/>
      <c r="J12" s="393"/>
    </row>
    <row r="13" spans="1:10" ht="27.75" customHeight="1">
      <c r="A13" s="393"/>
      <c r="B13" s="393"/>
      <c r="C13" s="393"/>
      <c r="D13" s="393"/>
      <c r="E13" s="393"/>
      <c r="F13" s="393"/>
      <c r="G13" s="393"/>
      <c r="H13" s="393"/>
      <c r="I13" s="393"/>
      <c r="J13" s="393"/>
    </row>
    <row r="14" spans="1:10" ht="27.75" customHeight="1">
      <c r="A14" s="393"/>
      <c r="B14" s="393"/>
      <c r="C14" s="393"/>
      <c r="D14" s="393"/>
      <c r="E14" s="393"/>
      <c r="F14" s="393"/>
      <c r="G14" s="393"/>
      <c r="H14" s="393"/>
      <c r="I14" s="393"/>
      <c r="J14" s="393"/>
    </row>
    <row r="15" spans="1:10" ht="10.5" customHeight="1">
      <c r="A15" s="393"/>
      <c r="B15" s="393"/>
      <c r="C15" s="393"/>
      <c r="D15" s="393"/>
      <c r="E15" s="393"/>
      <c r="F15" s="393"/>
      <c r="G15" s="393"/>
      <c r="H15" s="393"/>
      <c r="I15" s="393"/>
      <c r="J15" s="393"/>
    </row>
    <row r="16" spans="1:10" ht="1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394</v>
      </c>
      <c r="B17" s="153"/>
      <c r="C17" s="153"/>
      <c r="D17" s="154" t="s">
        <v>395</v>
      </c>
      <c r="E17" s="155"/>
      <c r="F17" s="155"/>
      <c r="G17" s="155"/>
      <c r="H17" s="155"/>
      <c r="I17" s="156">
        <f>I18</f>
        <v>11008482</v>
      </c>
      <c r="J17" s="155"/>
    </row>
    <row r="18" spans="1:10" ht="45" customHeight="1">
      <c r="A18" s="153" t="s">
        <v>396</v>
      </c>
      <c r="B18" s="153"/>
      <c r="C18" s="153"/>
      <c r="D18" s="154" t="s">
        <v>395</v>
      </c>
      <c r="E18" s="155"/>
      <c r="F18" s="155"/>
      <c r="G18" s="155"/>
      <c r="H18" s="155"/>
      <c r="I18" s="156">
        <f>SUM(I19:I48)</f>
        <v>11008482</v>
      </c>
      <c r="J18" s="155"/>
    </row>
    <row r="19" spans="1:10" ht="45" customHeight="1">
      <c r="A19" s="380" t="s">
        <v>717</v>
      </c>
      <c r="B19" s="380" t="s">
        <v>666</v>
      </c>
      <c r="C19" s="380" t="s">
        <v>463</v>
      </c>
      <c r="D19" s="382" t="s">
        <v>667</v>
      </c>
      <c r="E19" s="158" t="s">
        <v>307</v>
      </c>
      <c r="F19" s="155" t="s">
        <v>97</v>
      </c>
      <c r="G19" s="155">
        <v>841229</v>
      </c>
      <c r="H19" s="155">
        <v>51.7</v>
      </c>
      <c r="I19" s="155">
        <f>401229-13268</f>
        <v>387961</v>
      </c>
      <c r="J19" s="159">
        <v>100</v>
      </c>
    </row>
    <row r="20" spans="1:10" ht="58.5" customHeight="1">
      <c r="A20" s="366"/>
      <c r="B20" s="366"/>
      <c r="C20" s="366"/>
      <c r="D20" s="373"/>
      <c r="E20" s="158" t="s">
        <v>309</v>
      </c>
      <c r="F20" s="155">
        <v>2020</v>
      </c>
      <c r="G20" s="155">
        <v>1489850</v>
      </c>
      <c r="H20" s="155"/>
      <c r="I20" s="155">
        <v>1489850</v>
      </c>
      <c r="J20" s="159">
        <v>100</v>
      </c>
    </row>
    <row r="21" spans="1:10" ht="71.25" customHeight="1">
      <c r="A21" s="366"/>
      <c r="B21" s="366"/>
      <c r="C21" s="366"/>
      <c r="D21" s="373"/>
      <c r="E21" s="158" t="s">
        <v>300</v>
      </c>
      <c r="F21" s="155">
        <v>2020</v>
      </c>
      <c r="G21" s="155">
        <v>290395</v>
      </c>
      <c r="H21" s="155"/>
      <c r="I21" s="155">
        <v>290395</v>
      </c>
      <c r="J21" s="159">
        <v>100</v>
      </c>
    </row>
    <row r="22" spans="1:10" ht="61.5" customHeight="1">
      <c r="A22" s="366"/>
      <c r="B22" s="366"/>
      <c r="C22" s="366"/>
      <c r="D22" s="373"/>
      <c r="E22" s="158" t="s">
        <v>301</v>
      </c>
      <c r="F22" s="155">
        <v>2020</v>
      </c>
      <c r="G22" s="155">
        <v>274391</v>
      </c>
      <c r="H22" s="155"/>
      <c r="I22" s="155">
        <v>274391</v>
      </c>
      <c r="J22" s="159">
        <v>100</v>
      </c>
    </row>
    <row r="23" spans="1:10" ht="66" customHeight="1">
      <c r="A23" s="366"/>
      <c r="B23" s="366"/>
      <c r="C23" s="366"/>
      <c r="D23" s="373"/>
      <c r="E23" s="158" t="s">
        <v>302</v>
      </c>
      <c r="F23" s="155">
        <v>2020</v>
      </c>
      <c r="G23" s="155">
        <v>234402</v>
      </c>
      <c r="H23" s="155"/>
      <c r="I23" s="155">
        <v>234402</v>
      </c>
      <c r="J23" s="159">
        <v>100</v>
      </c>
    </row>
    <row r="24" spans="1:10" ht="58.5" customHeight="1">
      <c r="A24" s="367"/>
      <c r="B24" s="367"/>
      <c r="C24" s="367"/>
      <c r="D24" s="374"/>
      <c r="E24" s="158" t="s">
        <v>306</v>
      </c>
      <c r="F24" s="155">
        <v>2020</v>
      </c>
      <c r="G24" s="155">
        <v>1061729</v>
      </c>
      <c r="H24" s="155"/>
      <c r="I24" s="155">
        <v>48086</v>
      </c>
      <c r="J24" s="159">
        <f>I24/G24*100</f>
        <v>4.529027652065641</v>
      </c>
    </row>
    <row r="25" spans="1:10" ht="60" customHeight="1">
      <c r="A25" s="380" t="s">
        <v>748</v>
      </c>
      <c r="B25" s="380" t="s">
        <v>749</v>
      </c>
      <c r="C25" s="380" t="s">
        <v>463</v>
      </c>
      <c r="D25" s="382" t="s">
        <v>750</v>
      </c>
      <c r="E25" s="158" t="s">
        <v>310</v>
      </c>
      <c r="F25" s="155">
        <v>2020</v>
      </c>
      <c r="G25" s="155">
        <v>205558</v>
      </c>
      <c r="H25" s="155"/>
      <c r="I25" s="155">
        <v>182560</v>
      </c>
      <c r="J25" s="159">
        <f>I25/G25*100</f>
        <v>88.81191683125931</v>
      </c>
    </row>
    <row r="26" spans="1:10" ht="46.5" customHeight="1">
      <c r="A26" s="366"/>
      <c r="B26" s="366"/>
      <c r="C26" s="366"/>
      <c r="D26" s="373"/>
      <c r="E26" s="158" t="s">
        <v>311</v>
      </c>
      <c r="F26" s="155" t="s">
        <v>97</v>
      </c>
      <c r="G26" s="155">
        <v>1482318</v>
      </c>
      <c r="H26" s="155">
        <v>53.9</v>
      </c>
      <c r="I26" s="155">
        <v>682318</v>
      </c>
      <c r="J26" s="159">
        <v>100</v>
      </c>
    </row>
    <row r="27" spans="1:10" ht="46.5" customHeight="1">
      <c r="A27" s="366"/>
      <c r="B27" s="366"/>
      <c r="C27" s="366"/>
      <c r="D27" s="373"/>
      <c r="E27" s="158" t="s">
        <v>312</v>
      </c>
      <c r="F27" s="155">
        <v>2020</v>
      </c>
      <c r="G27" s="155">
        <v>245255</v>
      </c>
      <c r="H27" s="155"/>
      <c r="I27" s="155">
        <v>245255</v>
      </c>
      <c r="J27" s="159">
        <v>100</v>
      </c>
    </row>
    <row r="28" spans="1:10" ht="51" customHeight="1">
      <c r="A28" s="366"/>
      <c r="B28" s="366"/>
      <c r="C28" s="366"/>
      <c r="D28" s="373"/>
      <c r="E28" s="158" t="s">
        <v>313</v>
      </c>
      <c r="F28" s="155">
        <v>2020</v>
      </c>
      <c r="G28" s="155">
        <v>272399</v>
      </c>
      <c r="H28" s="155"/>
      <c r="I28" s="155">
        <v>272399</v>
      </c>
      <c r="J28" s="159">
        <v>100</v>
      </c>
    </row>
    <row r="29" spans="1:10" ht="60" customHeight="1">
      <c r="A29" s="366"/>
      <c r="B29" s="366"/>
      <c r="C29" s="366"/>
      <c r="D29" s="373"/>
      <c r="E29" s="158" t="s">
        <v>314</v>
      </c>
      <c r="F29" s="155">
        <v>2020</v>
      </c>
      <c r="G29" s="155">
        <v>238931</v>
      </c>
      <c r="H29" s="155"/>
      <c r="I29" s="155">
        <v>238931</v>
      </c>
      <c r="J29" s="159">
        <v>100</v>
      </c>
    </row>
    <row r="30" spans="1:10" ht="46.5" customHeight="1">
      <c r="A30" s="366"/>
      <c r="B30" s="366"/>
      <c r="C30" s="366"/>
      <c r="D30" s="373"/>
      <c r="E30" s="158" t="s">
        <v>315</v>
      </c>
      <c r="F30" s="155">
        <v>2020</v>
      </c>
      <c r="G30" s="155">
        <v>250000</v>
      </c>
      <c r="H30" s="155"/>
      <c r="I30" s="155">
        <v>250000</v>
      </c>
      <c r="J30" s="159">
        <v>100</v>
      </c>
    </row>
    <row r="31" spans="1:10" ht="51" customHeight="1">
      <c r="A31" s="367"/>
      <c r="B31" s="367"/>
      <c r="C31" s="367"/>
      <c r="D31" s="374"/>
      <c r="E31" s="158" t="s">
        <v>90</v>
      </c>
      <c r="F31" s="155">
        <v>2020</v>
      </c>
      <c r="G31" s="155">
        <v>200000</v>
      </c>
      <c r="H31" s="155"/>
      <c r="I31" s="155">
        <v>200000</v>
      </c>
      <c r="J31" s="159">
        <v>100</v>
      </c>
    </row>
    <row r="32" spans="1:10" ht="66" customHeight="1">
      <c r="A32" s="388" t="s">
        <v>702</v>
      </c>
      <c r="B32" s="388" t="s">
        <v>621</v>
      </c>
      <c r="C32" s="388" t="s">
        <v>463</v>
      </c>
      <c r="D32" s="382" t="s">
        <v>91</v>
      </c>
      <c r="E32" s="158" t="s">
        <v>316</v>
      </c>
      <c r="F32" s="161">
        <v>2020</v>
      </c>
      <c r="G32" s="162">
        <v>1035724</v>
      </c>
      <c r="H32" s="155"/>
      <c r="I32" s="155">
        <v>1035724</v>
      </c>
      <c r="J32" s="159">
        <v>100</v>
      </c>
    </row>
    <row r="33" spans="1:10" ht="66" customHeight="1">
      <c r="A33" s="391"/>
      <c r="B33" s="391"/>
      <c r="C33" s="391"/>
      <c r="D33" s="390"/>
      <c r="E33" s="158" t="s">
        <v>319</v>
      </c>
      <c r="F33" s="161">
        <v>2020</v>
      </c>
      <c r="G33" s="162">
        <v>747973</v>
      </c>
      <c r="H33" s="155"/>
      <c r="I33" s="155">
        <v>747973</v>
      </c>
      <c r="J33" s="159">
        <v>100</v>
      </c>
    </row>
    <row r="34" spans="1:10" ht="18.75">
      <c r="A34" s="391"/>
      <c r="B34" s="391"/>
      <c r="C34" s="391"/>
      <c r="D34" s="390"/>
      <c r="E34" s="158" t="s">
        <v>317</v>
      </c>
      <c r="F34" s="161">
        <v>2020</v>
      </c>
      <c r="G34" s="162">
        <v>284098</v>
      </c>
      <c r="H34" s="155"/>
      <c r="I34" s="155">
        <v>284098</v>
      </c>
      <c r="J34" s="159">
        <v>100</v>
      </c>
    </row>
    <row r="35" spans="1:10" ht="66" customHeight="1">
      <c r="A35" s="391"/>
      <c r="B35" s="391"/>
      <c r="C35" s="391"/>
      <c r="D35" s="390"/>
      <c r="E35" s="158" t="s">
        <v>318</v>
      </c>
      <c r="F35" s="161">
        <v>2020</v>
      </c>
      <c r="G35" s="162">
        <v>138312</v>
      </c>
      <c r="H35" s="155"/>
      <c r="I35" s="155">
        <v>138312</v>
      </c>
      <c r="J35" s="159">
        <v>100</v>
      </c>
    </row>
    <row r="36" spans="1:10" ht="18.75">
      <c r="A36" s="391"/>
      <c r="B36" s="391"/>
      <c r="C36" s="391"/>
      <c r="D36" s="390"/>
      <c r="E36" s="158" t="s">
        <v>93</v>
      </c>
      <c r="F36" s="161">
        <v>2020</v>
      </c>
      <c r="G36" s="162">
        <v>53021</v>
      </c>
      <c r="H36" s="155"/>
      <c r="I36" s="155">
        <v>53021</v>
      </c>
      <c r="J36" s="159">
        <v>100</v>
      </c>
    </row>
    <row r="37" spans="1:10" ht="66" customHeight="1">
      <c r="A37" s="391"/>
      <c r="B37" s="391"/>
      <c r="C37" s="391"/>
      <c r="D37" s="390"/>
      <c r="E37" s="158" t="s">
        <v>92</v>
      </c>
      <c r="F37" s="161">
        <v>2020</v>
      </c>
      <c r="G37" s="162">
        <v>57727</v>
      </c>
      <c r="H37" s="155"/>
      <c r="I37" s="155">
        <v>57727</v>
      </c>
      <c r="J37" s="159">
        <v>100</v>
      </c>
    </row>
    <row r="38" spans="1:10" ht="48" customHeight="1">
      <c r="A38" s="391"/>
      <c r="B38" s="391"/>
      <c r="C38" s="391"/>
      <c r="D38" s="390"/>
      <c r="E38" s="158" t="s">
        <v>94</v>
      </c>
      <c r="F38" s="161">
        <v>2020</v>
      </c>
      <c r="G38" s="162">
        <f>60000+26000</f>
        <v>86000</v>
      </c>
      <c r="H38" s="155"/>
      <c r="I38" s="155">
        <f>60000+26000</f>
        <v>86000</v>
      </c>
      <c r="J38" s="159">
        <v>100</v>
      </c>
    </row>
    <row r="39" spans="1:10" ht="42.75" customHeight="1">
      <c r="A39" s="391"/>
      <c r="B39" s="391"/>
      <c r="C39" s="391"/>
      <c r="D39" s="390"/>
      <c r="E39" s="158" t="s">
        <v>95</v>
      </c>
      <c r="F39" s="161">
        <v>2020</v>
      </c>
      <c r="G39" s="162">
        <v>300000</v>
      </c>
      <c r="H39" s="155"/>
      <c r="I39" s="155">
        <v>300000</v>
      </c>
      <c r="J39" s="159">
        <v>100</v>
      </c>
    </row>
    <row r="40" spans="1:10" ht="39.75" customHeight="1">
      <c r="A40" s="342"/>
      <c r="B40" s="394"/>
      <c r="C40" s="342"/>
      <c r="D40" s="374"/>
      <c r="E40" s="163" t="s">
        <v>96</v>
      </c>
      <c r="F40" s="161" t="s">
        <v>97</v>
      </c>
      <c r="G40" s="162">
        <v>1343074</v>
      </c>
      <c r="H40" s="155">
        <v>73.4</v>
      </c>
      <c r="I40" s="155">
        <v>236684</v>
      </c>
      <c r="J40" s="159">
        <v>91</v>
      </c>
    </row>
    <row r="41" spans="1:10" ht="72" customHeight="1" hidden="1">
      <c r="A41" s="388" t="s">
        <v>678</v>
      </c>
      <c r="B41" s="380" t="s">
        <v>676</v>
      </c>
      <c r="C41" s="380" t="s">
        <v>464</v>
      </c>
      <c r="D41" s="382" t="s">
        <v>677</v>
      </c>
      <c r="E41" s="158" t="s">
        <v>98</v>
      </c>
      <c r="F41" s="155">
        <v>2020</v>
      </c>
      <c r="G41" s="164">
        <v>12247008</v>
      </c>
      <c r="H41" s="155"/>
      <c r="I41" s="155">
        <f>1204337-1204337</f>
        <v>0</v>
      </c>
      <c r="J41" s="159">
        <v>9.8</v>
      </c>
    </row>
    <row r="42" spans="1:10" ht="74.25" customHeight="1" hidden="1">
      <c r="A42" s="391"/>
      <c r="B42" s="389"/>
      <c r="C42" s="389"/>
      <c r="D42" s="390"/>
      <c r="E42" s="158" t="s">
        <v>99</v>
      </c>
      <c r="F42" s="155" t="s">
        <v>100</v>
      </c>
      <c r="G42" s="155">
        <v>6228838</v>
      </c>
      <c r="H42" s="155">
        <v>1.1</v>
      </c>
      <c r="I42" s="155">
        <f>200000-200000</f>
        <v>0</v>
      </c>
      <c r="J42" s="159">
        <v>4.3</v>
      </c>
    </row>
    <row r="43" spans="1:11" ht="81" customHeight="1">
      <c r="A43" s="358"/>
      <c r="B43" s="366"/>
      <c r="C43" s="366"/>
      <c r="D43" s="373"/>
      <c r="E43" s="163" t="s">
        <v>101</v>
      </c>
      <c r="F43" s="161" t="s">
        <v>102</v>
      </c>
      <c r="G43" s="165">
        <v>20691542</v>
      </c>
      <c r="H43" s="166">
        <v>6.7</v>
      </c>
      <c r="I43" s="162">
        <f>1306707-190000</f>
        <v>1116707</v>
      </c>
      <c r="J43" s="159">
        <v>12.1</v>
      </c>
      <c r="K43" s="167"/>
    </row>
    <row r="44" spans="1:10" ht="65.25" customHeight="1" hidden="1">
      <c r="A44" s="358"/>
      <c r="B44" s="366"/>
      <c r="C44" s="366"/>
      <c r="D44" s="373"/>
      <c r="E44" s="155"/>
      <c r="F44" s="155"/>
      <c r="G44" s="155"/>
      <c r="H44" s="155"/>
      <c r="I44" s="156">
        <f>I45</f>
        <v>0</v>
      </c>
      <c r="J44" s="155"/>
    </row>
    <row r="45" spans="1:10" ht="80.25" customHeight="1" hidden="1">
      <c r="A45" s="358"/>
      <c r="B45" s="366"/>
      <c r="C45" s="366"/>
      <c r="D45" s="373"/>
      <c r="E45" s="155"/>
      <c r="F45" s="155"/>
      <c r="G45" s="155"/>
      <c r="H45" s="155"/>
      <c r="I45" s="156">
        <f>SUM(I46:I47)</f>
        <v>0</v>
      </c>
      <c r="J45" s="155"/>
    </row>
    <row r="46" spans="1:10" ht="61.5" customHeight="1" hidden="1">
      <c r="A46" s="358"/>
      <c r="B46" s="366"/>
      <c r="C46" s="366"/>
      <c r="D46" s="373"/>
      <c r="E46" s="158" t="s">
        <v>103</v>
      </c>
      <c r="F46" s="155">
        <v>2020</v>
      </c>
      <c r="G46" s="155">
        <v>46683</v>
      </c>
      <c r="H46" s="155"/>
      <c r="I46" s="155">
        <f>46683-46683</f>
        <v>0</v>
      </c>
      <c r="J46" s="159">
        <v>100</v>
      </c>
    </row>
    <row r="47" spans="1:10" ht="79.5" customHeight="1" hidden="1">
      <c r="A47" s="358"/>
      <c r="B47" s="366"/>
      <c r="C47" s="366"/>
      <c r="D47" s="373"/>
      <c r="E47" s="158" t="s">
        <v>104</v>
      </c>
      <c r="F47" s="155" t="s">
        <v>102</v>
      </c>
      <c r="G47" s="155">
        <v>6093630</v>
      </c>
      <c r="H47" s="155">
        <v>1.9</v>
      </c>
      <c r="I47" s="155">
        <f>597771-597771</f>
        <v>0</v>
      </c>
      <c r="J47" s="159">
        <v>11.7</v>
      </c>
    </row>
    <row r="48" spans="1:10" ht="79.5" customHeight="1">
      <c r="A48" s="342"/>
      <c r="B48" s="367"/>
      <c r="C48" s="367"/>
      <c r="D48" s="374"/>
      <c r="E48" s="158" t="s">
        <v>111</v>
      </c>
      <c r="F48" s="155" t="s">
        <v>112</v>
      </c>
      <c r="G48" s="155">
        <v>434764188</v>
      </c>
      <c r="H48" s="155"/>
      <c r="I48" s="155">
        <f>6666667-2000000-1000000-1445833-65146</f>
        <v>2155688</v>
      </c>
      <c r="J48" s="159">
        <f>I48/G48*100</f>
        <v>0.4958292470952092</v>
      </c>
    </row>
    <row r="49" spans="1:10" ht="42.75" customHeight="1">
      <c r="A49" s="168" t="s">
        <v>490</v>
      </c>
      <c r="B49" s="168"/>
      <c r="C49" s="168"/>
      <c r="D49" s="169" t="s">
        <v>491</v>
      </c>
      <c r="E49" s="158"/>
      <c r="F49" s="155"/>
      <c r="G49" s="155"/>
      <c r="H49" s="155"/>
      <c r="I49" s="156">
        <f>I50</f>
        <v>6838358</v>
      </c>
      <c r="J49" s="159"/>
    </row>
    <row r="50" spans="1:10" ht="37.5">
      <c r="A50" s="153" t="s">
        <v>492</v>
      </c>
      <c r="B50" s="153"/>
      <c r="C50" s="153"/>
      <c r="D50" s="154" t="s">
        <v>491</v>
      </c>
      <c r="E50" s="158"/>
      <c r="F50" s="155"/>
      <c r="G50" s="155"/>
      <c r="H50" s="155"/>
      <c r="I50" s="156">
        <f>SUM(I51:I66)</f>
        <v>6838358</v>
      </c>
      <c r="J50" s="159"/>
    </row>
    <row r="51" spans="1:10" ht="18.75" hidden="1">
      <c r="A51" s="380" t="s">
        <v>709</v>
      </c>
      <c r="B51" s="380" t="s">
        <v>710</v>
      </c>
      <c r="C51" s="380" t="s">
        <v>463</v>
      </c>
      <c r="D51" s="382" t="s">
        <v>711</v>
      </c>
      <c r="E51" s="158" t="s">
        <v>325</v>
      </c>
      <c r="F51" s="155">
        <v>2020</v>
      </c>
      <c r="G51" s="155">
        <v>689006</v>
      </c>
      <c r="H51" s="155"/>
      <c r="I51" s="155">
        <f>458596-134273-324323</f>
        <v>0</v>
      </c>
      <c r="J51" s="159">
        <f>I51/G51*100</f>
        <v>0</v>
      </c>
    </row>
    <row r="52" spans="1:10" ht="37.5">
      <c r="A52" s="389"/>
      <c r="B52" s="389"/>
      <c r="C52" s="389"/>
      <c r="D52" s="390"/>
      <c r="E52" s="158" t="s">
        <v>353</v>
      </c>
      <c r="F52" s="155">
        <v>2020</v>
      </c>
      <c r="G52" s="155">
        <v>49963</v>
      </c>
      <c r="H52" s="155"/>
      <c r="I52" s="155">
        <v>49963</v>
      </c>
      <c r="J52" s="159">
        <f>I52/G52*100</f>
        <v>100</v>
      </c>
    </row>
    <row r="53" spans="1:10" ht="48" customHeight="1">
      <c r="A53" s="366"/>
      <c r="B53" s="366"/>
      <c r="C53" s="366"/>
      <c r="D53" s="373"/>
      <c r="E53" s="158" t="s">
        <v>329</v>
      </c>
      <c r="F53" s="155" t="s">
        <v>97</v>
      </c>
      <c r="G53" s="155">
        <v>1286052</v>
      </c>
      <c r="H53" s="155">
        <v>73.7</v>
      </c>
      <c r="I53" s="155">
        <v>251261</v>
      </c>
      <c r="J53" s="159">
        <v>100</v>
      </c>
    </row>
    <row r="54" spans="1:10" ht="56.25">
      <c r="A54" s="366"/>
      <c r="B54" s="366"/>
      <c r="C54" s="366"/>
      <c r="D54" s="373"/>
      <c r="E54" s="158" t="s">
        <v>326</v>
      </c>
      <c r="F54" s="155">
        <v>2020</v>
      </c>
      <c r="G54" s="155">
        <v>976422</v>
      </c>
      <c r="H54" s="155"/>
      <c r="I54" s="155">
        <v>924701</v>
      </c>
      <c r="J54" s="159">
        <f>I54/G54*100</f>
        <v>94.70300751109664</v>
      </c>
    </row>
    <row r="55" spans="1:10" ht="37.5">
      <c r="A55" s="366"/>
      <c r="B55" s="366"/>
      <c r="C55" s="366"/>
      <c r="D55" s="373"/>
      <c r="E55" s="158" t="s">
        <v>332</v>
      </c>
      <c r="F55" s="155">
        <v>2020</v>
      </c>
      <c r="G55" s="155">
        <v>49996</v>
      </c>
      <c r="H55" s="155"/>
      <c r="I55" s="155">
        <v>49996</v>
      </c>
      <c r="J55" s="159">
        <v>100</v>
      </c>
    </row>
    <row r="56" spans="1:10" ht="93.75">
      <c r="A56" s="366"/>
      <c r="B56" s="366"/>
      <c r="C56" s="366"/>
      <c r="D56" s="373"/>
      <c r="E56" s="158" t="s">
        <v>324</v>
      </c>
      <c r="F56" s="155">
        <v>2020</v>
      </c>
      <c r="G56" s="155">
        <v>1969418</v>
      </c>
      <c r="H56" s="155"/>
      <c r="I56" s="155">
        <v>1562840</v>
      </c>
      <c r="J56" s="159">
        <f>I56/G56*100</f>
        <v>79.35542378509794</v>
      </c>
    </row>
    <row r="57" spans="1:10" ht="44.25" customHeight="1">
      <c r="A57" s="366"/>
      <c r="B57" s="366"/>
      <c r="C57" s="366"/>
      <c r="D57" s="373"/>
      <c r="E57" s="158" t="s">
        <v>327</v>
      </c>
      <c r="F57" s="155">
        <v>2020</v>
      </c>
      <c r="G57" s="155">
        <v>299000</v>
      </c>
      <c r="H57" s="155"/>
      <c r="I57" s="155">
        <v>299000</v>
      </c>
      <c r="J57" s="159">
        <f>I57/G57*100</f>
        <v>100</v>
      </c>
    </row>
    <row r="58" spans="1:10" ht="23.25" customHeight="1">
      <c r="A58" s="366"/>
      <c r="B58" s="366"/>
      <c r="C58" s="366"/>
      <c r="D58" s="373"/>
      <c r="E58" s="158" t="s">
        <v>346</v>
      </c>
      <c r="F58" s="155">
        <v>2020</v>
      </c>
      <c r="G58" s="155">
        <v>200000</v>
      </c>
      <c r="H58" s="155"/>
      <c r="I58" s="155">
        <v>200000</v>
      </c>
      <c r="J58" s="159">
        <v>100</v>
      </c>
    </row>
    <row r="59" spans="1:10" ht="62.25" customHeight="1">
      <c r="A59" s="366"/>
      <c r="B59" s="366"/>
      <c r="C59" s="366"/>
      <c r="D59" s="373"/>
      <c r="E59" s="158" t="s">
        <v>328</v>
      </c>
      <c r="F59" s="155">
        <v>2020</v>
      </c>
      <c r="G59" s="155">
        <v>1176529</v>
      </c>
      <c r="H59" s="155"/>
      <c r="I59" s="155">
        <v>800000</v>
      </c>
      <c r="J59" s="159">
        <f>I59/G59*100</f>
        <v>67.99662396762001</v>
      </c>
    </row>
    <row r="60" spans="1:10" ht="37.5">
      <c r="A60" s="366"/>
      <c r="B60" s="366"/>
      <c r="C60" s="366"/>
      <c r="D60" s="373"/>
      <c r="E60" s="289" t="s">
        <v>355</v>
      </c>
      <c r="F60" s="155">
        <v>2020</v>
      </c>
      <c r="G60" s="155">
        <v>49932</v>
      </c>
      <c r="H60" s="155"/>
      <c r="I60" s="155">
        <v>49932</v>
      </c>
      <c r="J60" s="159">
        <f>I60/G60*100</f>
        <v>100</v>
      </c>
    </row>
    <row r="61" spans="1:10" ht="37.5">
      <c r="A61" s="366"/>
      <c r="B61" s="366"/>
      <c r="C61" s="366"/>
      <c r="D61" s="373"/>
      <c r="E61" s="289" t="s">
        <v>356</v>
      </c>
      <c r="F61" s="155">
        <v>2020</v>
      </c>
      <c r="G61" s="155">
        <v>34378</v>
      </c>
      <c r="H61" s="155"/>
      <c r="I61" s="155">
        <v>34378</v>
      </c>
      <c r="J61" s="159">
        <f>I61/G61*100</f>
        <v>100</v>
      </c>
    </row>
    <row r="62" spans="1:10" ht="37.5">
      <c r="A62" s="366"/>
      <c r="B62" s="366"/>
      <c r="C62" s="366"/>
      <c r="D62" s="373"/>
      <c r="E62" s="287" t="s">
        <v>354</v>
      </c>
      <c r="F62" s="155">
        <v>2020</v>
      </c>
      <c r="G62" s="155">
        <v>380986</v>
      </c>
      <c r="H62" s="155"/>
      <c r="I62" s="155">
        <v>380986</v>
      </c>
      <c r="J62" s="159">
        <f>I62/G62*100</f>
        <v>100</v>
      </c>
    </row>
    <row r="63" spans="1:10" ht="18.75">
      <c r="A63" s="366"/>
      <c r="B63" s="366"/>
      <c r="C63" s="366"/>
      <c r="D63" s="373"/>
      <c r="E63" s="158" t="s">
        <v>339</v>
      </c>
      <c r="F63" s="155">
        <v>2020</v>
      </c>
      <c r="G63" s="155">
        <v>136630</v>
      </c>
      <c r="H63" s="155"/>
      <c r="I63" s="155">
        <v>136630</v>
      </c>
      <c r="J63" s="159">
        <v>100</v>
      </c>
    </row>
    <row r="64" spans="1:10" ht="93.75">
      <c r="A64" s="366"/>
      <c r="B64" s="366"/>
      <c r="C64" s="366"/>
      <c r="D64" s="373"/>
      <c r="E64" s="288" t="s">
        <v>330</v>
      </c>
      <c r="F64" s="155" t="s">
        <v>97</v>
      </c>
      <c r="G64" s="155">
        <v>1197696</v>
      </c>
      <c r="H64" s="155">
        <v>6.4</v>
      </c>
      <c r="I64" s="155">
        <v>838662</v>
      </c>
      <c r="J64" s="159">
        <v>100</v>
      </c>
    </row>
    <row r="65" spans="1:10" ht="112.5">
      <c r="A65" s="366"/>
      <c r="B65" s="366"/>
      <c r="C65" s="366"/>
      <c r="D65" s="373"/>
      <c r="E65" s="158" t="s">
        <v>331</v>
      </c>
      <c r="F65" s="155" t="s">
        <v>97</v>
      </c>
      <c r="G65" s="155">
        <v>1620083</v>
      </c>
      <c r="H65" s="155">
        <v>6.3</v>
      </c>
      <c r="I65" s="155">
        <v>1210824</v>
      </c>
      <c r="J65" s="159">
        <v>100</v>
      </c>
    </row>
    <row r="66" spans="1:10" ht="56.25">
      <c r="A66" s="367"/>
      <c r="B66" s="367"/>
      <c r="C66" s="367"/>
      <c r="D66" s="374"/>
      <c r="E66" s="290" t="s">
        <v>357</v>
      </c>
      <c r="F66" s="155">
        <v>2020</v>
      </c>
      <c r="G66" s="155">
        <v>49185</v>
      </c>
      <c r="H66" s="155"/>
      <c r="I66" s="155">
        <v>49185</v>
      </c>
      <c r="J66" s="159">
        <f>I66/G66*100</f>
        <v>100</v>
      </c>
    </row>
    <row r="67" spans="1:10" ht="84" customHeight="1">
      <c r="A67" s="153" t="s">
        <v>526</v>
      </c>
      <c r="B67" s="153"/>
      <c r="C67" s="153"/>
      <c r="D67" s="154" t="s">
        <v>527</v>
      </c>
      <c r="E67" s="158"/>
      <c r="F67" s="155"/>
      <c r="G67" s="155"/>
      <c r="H67" s="155"/>
      <c r="I67" s="156">
        <f>I68</f>
        <v>51460</v>
      </c>
      <c r="J67" s="159"/>
    </row>
    <row r="68" spans="1:10" ht="83.25" customHeight="1">
      <c r="A68" s="153" t="s">
        <v>528</v>
      </c>
      <c r="B68" s="153"/>
      <c r="C68" s="153"/>
      <c r="D68" s="154" t="s">
        <v>527</v>
      </c>
      <c r="E68" s="158"/>
      <c r="F68" s="155"/>
      <c r="G68" s="155"/>
      <c r="H68" s="155"/>
      <c r="I68" s="156">
        <f>SUM(I69:I70)</f>
        <v>51460</v>
      </c>
      <c r="J68" s="159"/>
    </row>
    <row r="69" spans="1:10" ht="55.5" customHeight="1">
      <c r="A69" s="388" t="s">
        <v>754</v>
      </c>
      <c r="B69" s="388" t="s">
        <v>621</v>
      </c>
      <c r="C69" s="388" t="s">
        <v>463</v>
      </c>
      <c r="D69" s="382" t="s">
        <v>703</v>
      </c>
      <c r="E69" s="158" t="s">
        <v>105</v>
      </c>
      <c r="F69" s="155">
        <v>2020</v>
      </c>
      <c r="G69" s="155">
        <v>27208</v>
      </c>
      <c r="H69" s="155"/>
      <c r="I69" s="155">
        <v>27208</v>
      </c>
      <c r="J69" s="159">
        <v>100</v>
      </c>
    </row>
    <row r="70" spans="1:10" ht="57.75" customHeight="1">
      <c r="A70" s="342"/>
      <c r="B70" s="342"/>
      <c r="C70" s="342"/>
      <c r="D70" s="374"/>
      <c r="E70" s="158" t="s">
        <v>106</v>
      </c>
      <c r="F70" s="155">
        <v>2020</v>
      </c>
      <c r="G70" s="155">
        <v>24252</v>
      </c>
      <c r="H70" s="155"/>
      <c r="I70" s="155">
        <v>24252</v>
      </c>
      <c r="J70" s="159">
        <v>100</v>
      </c>
    </row>
    <row r="71" spans="1:10" ht="48.75" customHeight="1">
      <c r="A71" s="168" t="s">
        <v>542</v>
      </c>
      <c r="B71" s="168"/>
      <c r="C71" s="168"/>
      <c r="D71" s="169" t="s">
        <v>543</v>
      </c>
      <c r="E71" s="158"/>
      <c r="F71" s="155"/>
      <c r="G71" s="155"/>
      <c r="H71" s="155"/>
      <c r="I71" s="156">
        <f>I72</f>
        <v>2111535</v>
      </c>
      <c r="J71" s="159"/>
    </row>
    <row r="72" spans="1:10" ht="53.25" customHeight="1">
      <c r="A72" s="168" t="s">
        <v>544</v>
      </c>
      <c r="B72" s="168"/>
      <c r="C72" s="168"/>
      <c r="D72" s="169" t="s">
        <v>543</v>
      </c>
      <c r="E72" s="158"/>
      <c r="F72" s="155"/>
      <c r="G72" s="155"/>
      <c r="H72" s="155"/>
      <c r="I72" s="156">
        <f>SUM(I73:I75)</f>
        <v>2111535</v>
      </c>
      <c r="J72" s="159"/>
    </row>
    <row r="73" spans="1:10" ht="71.25" customHeight="1">
      <c r="A73" s="380" t="s">
        <v>735</v>
      </c>
      <c r="B73" s="380" t="s">
        <v>736</v>
      </c>
      <c r="C73" s="380" t="s">
        <v>463</v>
      </c>
      <c r="D73" s="382" t="s">
        <v>737</v>
      </c>
      <c r="E73" s="158" t="s">
        <v>320</v>
      </c>
      <c r="F73" s="155">
        <v>2020</v>
      </c>
      <c r="G73" s="155">
        <v>297892</v>
      </c>
      <c r="H73" s="155"/>
      <c r="I73" s="155">
        <v>297892</v>
      </c>
      <c r="J73" s="159">
        <f>I73/G73*100</f>
        <v>100</v>
      </c>
    </row>
    <row r="74" spans="1:10" ht="63.75" customHeight="1">
      <c r="A74" s="367"/>
      <c r="B74" s="367"/>
      <c r="C74" s="367"/>
      <c r="D74" s="374"/>
      <c r="E74" s="158" t="s">
        <v>107</v>
      </c>
      <c r="F74" s="155">
        <v>2020</v>
      </c>
      <c r="G74" s="155">
        <v>1946994</v>
      </c>
      <c r="H74" s="155"/>
      <c r="I74" s="155">
        <f>600000+1013643</f>
        <v>1613643</v>
      </c>
      <c r="J74" s="159">
        <f>I74/G74*100</f>
        <v>82.87868375557397</v>
      </c>
    </row>
    <row r="75" spans="1:10" ht="72" customHeight="1">
      <c r="A75" s="157" t="s">
        <v>738</v>
      </c>
      <c r="B75" s="157" t="s">
        <v>739</v>
      </c>
      <c r="C75" s="170" t="s">
        <v>463</v>
      </c>
      <c r="D75" s="160" t="s">
        <v>740</v>
      </c>
      <c r="E75" s="158" t="s">
        <v>108</v>
      </c>
      <c r="F75" s="155">
        <v>2020</v>
      </c>
      <c r="G75" s="155">
        <v>200000</v>
      </c>
      <c r="H75" s="155"/>
      <c r="I75" s="155">
        <v>200000</v>
      </c>
      <c r="J75" s="159">
        <v>100</v>
      </c>
    </row>
    <row r="76" spans="1:10" ht="72" customHeight="1">
      <c r="A76" s="153" t="s">
        <v>570</v>
      </c>
      <c r="B76" s="276"/>
      <c r="C76" s="277"/>
      <c r="D76" s="154" t="s">
        <v>571</v>
      </c>
      <c r="E76" s="158"/>
      <c r="F76" s="155"/>
      <c r="G76" s="155"/>
      <c r="H76" s="155"/>
      <c r="I76" s="156">
        <f>I77</f>
        <v>1518302</v>
      </c>
      <c r="J76" s="159"/>
    </row>
    <row r="77" spans="1:10" ht="72" customHeight="1">
      <c r="A77" s="153" t="s">
        <v>572</v>
      </c>
      <c r="B77" s="153"/>
      <c r="C77" s="153"/>
      <c r="D77" s="154" t="s">
        <v>571</v>
      </c>
      <c r="E77" s="158"/>
      <c r="F77" s="155"/>
      <c r="G77" s="155"/>
      <c r="H77" s="155"/>
      <c r="I77" s="156">
        <f>SUM(I78:I80)</f>
        <v>1518302</v>
      </c>
      <c r="J77" s="159"/>
    </row>
    <row r="78" spans="1:10" ht="41.25" customHeight="1">
      <c r="A78" s="380" t="s">
        <v>712</v>
      </c>
      <c r="B78" s="380" t="s">
        <v>713</v>
      </c>
      <c r="C78" s="380" t="s">
        <v>463</v>
      </c>
      <c r="D78" s="385" t="s">
        <v>714</v>
      </c>
      <c r="E78" s="158" t="s">
        <v>321</v>
      </c>
      <c r="F78" s="155" t="s">
        <v>97</v>
      </c>
      <c r="G78" s="155">
        <v>723958</v>
      </c>
      <c r="H78" s="155">
        <v>19.6</v>
      </c>
      <c r="I78" s="155">
        <v>575498</v>
      </c>
      <c r="J78" s="159">
        <v>100</v>
      </c>
    </row>
    <row r="79" spans="1:10" ht="75">
      <c r="A79" s="384"/>
      <c r="B79" s="384"/>
      <c r="C79" s="384"/>
      <c r="D79" s="386"/>
      <c r="E79" s="158" t="s">
        <v>323</v>
      </c>
      <c r="F79" s="155">
        <v>2020</v>
      </c>
      <c r="G79" s="155">
        <v>50006</v>
      </c>
      <c r="H79" s="155"/>
      <c r="I79" s="155">
        <v>50006</v>
      </c>
      <c r="J79" s="159">
        <v>100</v>
      </c>
    </row>
    <row r="80" spans="1:10" ht="93" customHeight="1">
      <c r="A80" s="148" t="s">
        <v>704</v>
      </c>
      <c r="B80" s="148" t="s">
        <v>676</v>
      </c>
      <c r="C80" s="148" t="s">
        <v>464</v>
      </c>
      <c r="D80" s="149" t="s">
        <v>677</v>
      </c>
      <c r="E80" s="158" t="s">
        <v>322</v>
      </c>
      <c r="F80" s="155" t="s">
        <v>97</v>
      </c>
      <c r="G80" s="155">
        <v>14290566</v>
      </c>
      <c r="H80" s="155">
        <v>46.1</v>
      </c>
      <c r="I80" s="155">
        <v>892798</v>
      </c>
      <c r="J80" s="159">
        <v>100</v>
      </c>
    </row>
    <row r="81" spans="1:10" ht="56.25">
      <c r="A81" s="153" t="s">
        <v>594</v>
      </c>
      <c r="B81" s="153"/>
      <c r="C81" s="153"/>
      <c r="D81" s="171" t="s">
        <v>595</v>
      </c>
      <c r="E81" s="158"/>
      <c r="F81" s="155"/>
      <c r="G81" s="155"/>
      <c r="H81" s="155"/>
      <c r="I81" s="156">
        <f>I82</f>
        <v>22860</v>
      </c>
      <c r="J81" s="159"/>
    </row>
    <row r="82" spans="1:10" ht="56.25">
      <c r="A82" s="153" t="s">
        <v>596</v>
      </c>
      <c r="B82" s="153"/>
      <c r="C82" s="153"/>
      <c r="D82" s="171" t="s">
        <v>595</v>
      </c>
      <c r="E82" s="158"/>
      <c r="F82" s="155"/>
      <c r="G82" s="155"/>
      <c r="H82" s="155"/>
      <c r="I82" s="156">
        <f>SUM(I83:I83)</f>
        <v>22860</v>
      </c>
      <c r="J82" s="159"/>
    </row>
    <row r="83" spans="1:10" ht="64.5" customHeight="1">
      <c r="A83" s="157" t="s">
        <v>758</v>
      </c>
      <c r="B83" s="157" t="s">
        <v>713</v>
      </c>
      <c r="C83" s="157" t="s">
        <v>463</v>
      </c>
      <c r="D83" s="160" t="s">
        <v>714</v>
      </c>
      <c r="E83" s="158" t="s">
        <v>109</v>
      </c>
      <c r="F83" s="155" t="s">
        <v>110</v>
      </c>
      <c r="G83" s="155">
        <v>2866645</v>
      </c>
      <c r="H83" s="155">
        <v>99.2</v>
      </c>
      <c r="I83" s="155">
        <v>22860</v>
      </c>
      <c r="J83" s="159">
        <v>100</v>
      </c>
    </row>
    <row r="84" spans="1:10" ht="81.75" customHeight="1">
      <c r="A84" s="153" t="s">
        <v>613</v>
      </c>
      <c r="B84" s="148"/>
      <c r="C84" s="148"/>
      <c r="D84" s="154" t="s">
        <v>614</v>
      </c>
      <c r="E84" s="172"/>
      <c r="F84" s="173"/>
      <c r="G84" s="173"/>
      <c r="H84" s="173"/>
      <c r="I84" s="156">
        <f>I85</f>
        <v>4242860</v>
      </c>
      <c r="J84" s="173"/>
    </row>
    <row r="85" spans="1:10" ht="96" customHeight="1">
      <c r="A85" s="153" t="s">
        <v>615</v>
      </c>
      <c r="B85" s="148"/>
      <c r="C85" s="148"/>
      <c r="D85" s="154" t="s">
        <v>614</v>
      </c>
      <c r="E85" s="172"/>
      <c r="F85" s="173"/>
      <c r="G85" s="173"/>
      <c r="H85" s="173"/>
      <c r="I85" s="279">
        <f>SUM(I86:I108)</f>
        <v>4242860</v>
      </c>
      <c r="J85" s="173"/>
    </row>
    <row r="86" spans="1:10" ht="51.75" customHeight="1">
      <c r="A86" s="388" t="s">
        <v>665</v>
      </c>
      <c r="B86" s="388" t="s">
        <v>666</v>
      </c>
      <c r="C86" s="388" t="s">
        <v>463</v>
      </c>
      <c r="D86" s="382" t="s">
        <v>667</v>
      </c>
      <c r="E86" s="174" t="s">
        <v>113</v>
      </c>
      <c r="F86" s="175">
        <v>2020</v>
      </c>
      <c r="G86" s="176">
        <v>5414</v>
      </c>
      <c r="H86" s="177"/>
      <c r="I86" s="176">
        <v>5414</v>
      </c>
      <c r="J86" s="177">
        <v>100</v>
      </c>
    </row>
    <row r="87" spans="1:10" ht="52.5" customHeight="1">
      <c r="A87" s="358"/>
      <c r="B87" s="358"/>
      <c r="C87" s="358"/>
      <c r="D87" s="373"/>
      <c r="E87" s="174" t="s">
        <v>114</v>
      </c>
      <c r="F87" s="175">
        <v>2020</v>
      </c>
      <c r="G87" s="176">
        <v>5362</v>
      </c>
      <c r="H87" s="177"/>
      <c r="I87" s="176">
        <v>5362</v>
      </c>
      <c r="J87" s="177">
        <v>100</v>
      </c>
    </row>
    <row r="88" spans="1:10" ht="43.5" customHeight="1">
      <c r="A88" s="358"/>
      <c r="B88" s="358"/>
      <c r="C88" s="358"/>
      <c r="D88" s="373"/>
      <c r="E88" s="178" t="s">
        <v>115</v>
      </c>
      <c r="F88" s="175">
        <v>2020</v>
      </c>
      <c r="G88" s="176">
        <v>10194</v>
      </c>
      <c r="H88" s="177"/>
      <c r="I88" s="176">
        <v>10194</v>
      </c>
      <c r="J88" s="177">
        <v>100</v>
      </c>
    </row>
    <row r="89" spans="1:10" ht="48" customHeight="1">
      <c r="A89" s="358"/>
      <c r="B89" s="358"/>
      <c r="C89" s="358"/>
      <c r="D89" s="373"/>
      <c r="E89" s="178" t="s">
        <v>116</v>
      </c>
      <c r="F89" s="175">
        <v>2020</v>
      </c>
      <c r="G89" s="176">
        <v>20920</v>
      </c>
      <c r="H89" s="177"/>
      <c r="I89" s="176">
        <v>20920</v>
      </c>
      <c r="J89" s="177">
        <v>100</v>
      </c>
    </row>
    <row r="90" spans="1:10" ht="48" customHeight="1">
      <c r="A90" s="358"/>
      <c r="B90" s="358"/>
      <c r="C90" s="358"/>
      <c r="D90" s="373"/>
      <c r="E90" s="178" t="s">
        <v>117</v>
      </c>
      <c r="F90" s="175" t="s">
        <v>97</v>
      </c>
      <c r="G90" s="176">
        <v>533388</v>
      </c>
      <c r="H90" s="177">
        <v>54.1</v>
      </c>
      <c r="I90" s="179">
        <f>533388-299792-47980</f>
        <v>185616</v>
      </c>
      <c r="J90" s="177">
        <v>100</v>
      </c>
    </row>
    <row r="91" spans="1:10" ht="33.75" customHeight="1">
      <c r="A91" s="358"/>
      <c r="B91" s="358"/>
      <c r="C91" s="358"/>
      <c r="D91" s="373"/>
      <c r="E91" s="178" t="s">
        <v>118</v>
      </c>
      <c r="F91" s="175" t="s">
        <v>97</v>
      </c>
      <c r="G91" s="176">
        <v>533388</v>
      </c>
      <c r="H91" s="177">
        <v>79.9</v>
      </c>
      <c r="I91" s="179">
        <v>47980</v>
      </c>
      <c r="J91" s="177">
        <v>100</v>
      </c>
    </row>
    <row r="92" spans="1:10" ht="48" customHeight="1">
      <c r="A92" s="342"/>
      <c r="B92" s="342"/>
      <c r="C92" s="342"/>
      <c r="D92" s="374"/>
      <c r="E92" s="178" t="s">
        <v>119</v>
      </c>
      <c r="F92" s="175">
        <v>2020</v>
      </c>
      <c r="G92" s="176">
        <v>372400</v>
      </c>
      <c r="H92" s="177"/>
      <c r="I92" s="179">
        <v>50000</v>
      </c>
      <c r="J92" s="177">
        <f>I92/G92*100</f>
        <v>13.426423200859292</v>
      </c>
    </row>
    <row r="93" spans="1:10" ht="37.5">
      <c r="A93" s="380" t="s">
        <v>620</v>
      </c>
      <c r="B93" s="380" t="s">
        <v>621</v>
      </c>
      <c r="C93" s="380" t="s">
        <v>463</v>
      </c>
      <c r="D93" s="382" t="s">
        <v>703</v>
      </c>
      <c r="E93" s="178" t="s">
        <v>333</v>
      </c>
      <c r="F93" s="175">
        <v>2020</v>
      </c>
      <c r="G93" s="176">
        <v>1450000</v>
      </c>
      <c r="H93" s="177"/>
      <c r="I93" s="176">
        <v>1450000</v>
      </c>
      <c r="J93" s="177">
        <v>100</v>
      </c>
    </row>
    <row r="94" spans="1:10" ht="79.5" customHeight="1">
      <c r="A94" s="381"/>
      <c r="B94" s="381"/>
      <c r="C94" s="381"/>
      <c r="D94" s="383"/>
      <c r="E94" s="178" t="s">
        <v>120</v>
      </c>
      <c r="F94" s="175">
        <v>2020</v>
      </c>
      <c r="G94" s="176">
        <v>377344</v>
      </c>
      <c r="H94" s="177"/>
      <c r="I94" s="176">
        <f>377344</f>
        <v>377344</v>
      </c>
      <c r="J94" s="177">
        <v>100</v>
      </c>
    </row>
    <row r="95" spans="1:10" ht="39.75" customHeight="1">
      <c r="A95" s="381"/>
      <c r="B95" s="381"/>
      <c r="C95" s="381"/>
      <c r="D95" s="383"/>
      <c r="E95" s="178" t="s">
        <v>151</v>
      </c>
      <c r="F95" s="175">
        <v>2020</v>
      </c>
      <c r="G95" s="176">
        <v>35459</v>
      </c>
      <c r="H95" s="177"/>
      <c r="I95" s="176">
        <v>35459</v>
      </c>
      <c r="J95" s="177">
        <v>100</v>
      </c>
    </row>
    <row r="96" spans="1:10" ht="37.5" customHeight="1">
      <c r="A96" s="381"/>
      <c r="B96" s="381"/>
      <c r="C96" s="381"/>
      <c r="D96" s="383"/>
      <c r="E96" s="178" t="s">
        <v>121</v>
      </c>
      <c r="F96" s="175">
        <v>2020</v>
      </c>
      <c r="G96" s="176">
        <v>82969</v>
      </c>
      <c r="H96" s="177"/>
      <c r="I96" s="176">
        <v>82969</v>
      </c>
      <c r="J96" s="177">
        <v>100</v>
      </c>
    </row>
    <row r="97" spans="1:10" ht="41.25" customHeight="1">
      <c r="A97" s="381"/>
      <c r="B97" s="381"/>
      <c r="C97" s="381"/>
      <c r="D97" s="383"/>
      <c r="E97" s="178" t="s">
        <v>122</v>
      </c>
      <c r="F97" s="175">
        <v>2020</v>
      </c>
      <c r="G97" s="176">
        <v>50723</v>
      </c>
      <c r="H97" s="177"/>
      <c r="I97" s="176">
        <v>50723</v>
      </c>
      <c r="J97" s="177">
        <v>100</v>
      </c>
    </row>
    <row r="98" spans="1:10" ht="43.5" customHeight="1">
      <c r="A98" s="381"/>
      <c r="B98" s="381"/>
      <c r="C98" s="381"/>
      <c r="D98" s="383"/>
      <c r="E98" s="178" t="s">
        <v>123</v>
      </c>
      <c r="F98" s="175">
        <v>2020</v>
      </c>
      <c r="G98" s="176">
        <v>92758</v>
      </c>
      <c r="H98" s="177"/>
      <c r="I98" s="176">
        <v>92758</v>
      </c>
      <c r="J98" s="177">
        <v>100</v>
      </c>
    </row>
    <row r="99" spans="1:10" ht="45.75" customHeight="1">
      <c r="A99" s="381"/>
      <c r="B99" s="381"/>
      <c r="C99" s="381"/>
      <c r="D99" s="383"/>
      <c r="E99" s="178" t="s">
        <v>124</v>
      </c>
      <c r="F99" s="175">
        <v>2020</v>
      </c>
      <c r="G99" s="176">
        <v>83846</v>
      </c>
      <c r="H99" s="177"/>
      <c r="I99" s="176">
        <v>83846</v>
      </c>
      <c r="J99" s="177">
        <v>100</v>
      </c>
    </row>
    <row r="100" spans="1:10" ht="44.25" customHeight="1">
      <c r="A100" s="381"/>
      <c r="B100" s="381"/>
      <c r="C100" s="381"/>
      <c r="D100" s="383"/>
      <c r="E100" s="178" t="s">
        <v>125</v>
      </c>
      <c r="F100" s="175">
        <v>2020</v>
      </c>
      <c r="G100" s="176">
        <v>59562</v>
      </c>
      <c r="H100" s="177"/>
      <c r="I100" s="176">
        <v>59562</v>
      </c>
      <c r="J100" s="177">
        <v>100</v>
      </c>
    </row>
    <row r="101" spans="1:10" ht="37.5">
      <c r="A101" s="378"/>
      <c r="B101" s="378"/>
      <c r="C101" s="378"/>
      <c r="D101" s="378"/>
      <c r="E101" s="178" t="s">
        <v>126</v>
      </c>
      <c r="F101" s="175">
        <v>2020</v>
      </c>
      <c r="G101" s="176">
        <v>101117</v>
      </c>
      <c r="H101" s="177"/>
      <c r="I101" s="176">
        <v>101117</v>
      </c>
      <c r="J101" s="177">
        <v>100</v>
      </c>
    </row>
    <row r="102" spans="1:10" ht="37.5">
      <c r="A102" s="378"/>
      <c r="B102" s="378"/>
      <c r="C102" s="378"/>
      <c r="D102" s="378"/>
      <c r="E102" s="178" t="s">
        <v>334</v>
      </c>
      <c r="F102" s="175">
        <v>2020</v>
      </c>
      <c r="G102" s="176">
        <v>49986</v>
      </c>
      <c r="H102" s="177"/>
      <c r="I102" s="176">
        <v>49986</v>
      </c>
      <c r="J102" s="177">
        <v>100</v>
      </c>
    </row>
    <row r="103" spans="1:10" ht="37.5">
      <c r="A103" s="378"/>
      <c r="B103" s="378"/>
      <c r="C103" s="378"/>
      <c r="D103" s="378"/>
      <c r="E103" s="178" t="s">
        <v>335</v>
      </c>
      <c r="F103" s="175">
        <v>2020</v>
      </c>
      <c r="G103" s="176">
        <v>49998</v>
      </c>
      <c r="H103" s="177"/>
      <c r="I103" s="176">
        <v>49998</v>
      </c>
      <c r="J103" s="177">
        <v>100</v>
      </c>
    </row>
    <row r="104" spans="1:10" ht="37.5">
      <c r="A104" s="378"/>
      <c r="B104" s="378"/>
      <c r="C104" s="378"/>
      <c r="D104" s="378"/>
      <c r="E104" s="178" t="s">
        <v>336</v>
      </c>
      <c r="F104" s="175">
        <v>2020</v>
      </c>
      <c r="G104" s="176">
        <v>49992</v>
      </c>
      <c r="H104" s="177"/>
      <c r="I104" s="176">
        <v>49992</v>
      </c>
      <c r="J104" s="177">
        <v>100</v>
      </c>
    </row>
    <row r="105" spans="1:10" ht="37.5">
      <c r="A105" s="378"/>
      <c r="B105" s="378"/>
      <c r="C105" s="378"/>
      <c r="D105" s="378"/>
      <c r="E105" s="174" t="s">
        <v>127</v>
      </c>
      <c r="F105" s="175">
        <v>2020</v>
      </c>
      <c r="G105" s="176">
        <v>196893</v>
      </c>
      <c r="H105" s="177"/>
      <c r="I105" s="176">
        <v>196893</v>
      </c>
      <c r="J105" s="177">
        <v>100</v>
      </c>
    </row>
    <row r="106" spans="1:10" ht="43.5" customHeight="1">
      <c r="A106" s="379"/>
      <c r="B106" s="379"/>
      <c r="C106" s="379"/>
      <c r="D106" s="379"/>
      <c r="E106" s="178" t="s">
        <v>128</v>
      </c>
      <c r="F106" s="175">
        <v>2020</v>
      </c>
      <c r="G106" s="176">
        <v>46925</v>
      </c>
      <c r="H106" s="177"/>
      <c r="I106" s="176">
        <v>46925</v>
      </c>
      <c r="J106" s="177">
        <v>100</v>
      </c>
    </row>
    <row r="107" spans="1:10" ht="45.75" customHeight="1">
      <c r="A107" s="380" t="s">
        <v>626</v>
      </c>
      <c r="B107" s="380" t="s">
        <v>466</v>
      </c>
      <c r="C107" s="380" t="s">
        <v>467</v>
      </c>
      <c r="D107" s="382" t="s">
        <v>468</v>
      </c>
      <c r="E107" s="178" t="s">
        <v>337</v>
      </c>
      <c r="F107" s="175">
        <v>2020</v>
      </c>
      <c r="G107" s="176">
        <v>690636</v>
      </c>
      <c r="H107" s="177"/>
      <c r="I107" s="176">
        <v>680710</v>
      </c>
      <c r="J107" s="177">
        <f>I107/G107*100</f>
        <v>98.5627740227848</v>
      </c>
    </row>
    <row r="108" spans="1:10" ht="56.25">
      <c r="A108" s="387"/>
      <c r="B108" s="387"/>
      <c r="C108" s="387"/>
      <c r="D108" s="337"/>
      <c r="E108" s="178" t="s">
        <v>338</v>
      </c>
      <c r="F108" s="175">
        <v>2020</v>
      </c>
      <c r="G108" s="176">
        <v>519960</v>
      </c>
      <c r="H108" s="177"/>
      <c r="I108" s="176">
        <v>509092</v>
      </c>
      <c r="J108" s="177">
        <f>I108/G108*100</f>
        <v>97.90983921840142</v>
      </c>
    </row>
    <row r="109" spans="1:10" ht="18">
      <c r="A109" s="180" t="s">
        <v>765</v>
      </c>
      <c r="B109" s="180" t="s">
        <v>765</v>
      </c>
      <c r="C109" s="180" t="s">
        <v>765</v>
      </c>
      <c r="D109" s="180" t="s">
        <v>387</v>
      </c>
      <c r="E109" s="180" t="s">
        <v>765</v>
      </c>
      <c r="F109" s="180" t="s">
        <v>765</v>
      </c>
      <c r="G109" s="180" t="s">
        <v>765</v>
      </c>
      <c r="H109" s="180"/>
      <c r="I109" s="180">
        <f>I17+I49+I67+I71+I76+I81+I84</f>
        <v>25793857</v>
      </c>
      <c r="J109" s="180" t="s">
        <v>765</v>
      </c>
    </row>
    <row r="113" spans="2:10" ht="18.75">
      <c r="B113" s="30" t="s">
        <v>699</v>
      </c>
      <c r="C113" s="30"/>
      <c r="D113" s="30"/>
      <c r="E113" s="31"/>
      <c r="F113" s="31"/>
      <c r="G113" s="31"/>
      <c r="H113" s="31"/>
      <c r="I113" s="30" t="s">
        <v>700</v>
      </c>
      <c r="J113" s="31"/>
    </row>
    <row r="116" ht="12.75">
      <c r="I116" s="181"/>
    </row>
  </sheetData>
  <sheetProtection/>
  <mergeCells count="59">
    <mergeCell ref="I11:I15"/>
    <mergeCell ref="H11:H15"/>
    <mergeCell ref="G11:G15"/>
    <mergeCell ref="E11:E15"/>
    <mergeCell ref="F11:F15"/>
    <mergeCell ref="D32:D40"/>
    <mergeCell ref="C69:C70"/>
    <mergeCell ref="B19:B24"/>
    <mergeCell ref="C19:C24"/>
    <mergeCell ref="D19:D24"/>
    <mergeCell ref="B25:B31"/>
    <mergeCell ref="B69:B70"/>
    <mergeCell ref="D69:D70"/>
    <mergeCell ref="D25:D31"/>
    <mergeCell ref="C41:C48"/>
    <mergeCell ref="A32:A40"/>
    <mergeCell ref="A41:A48"/>
    <mergeCell ref="B41:B48"/>
    <mergeCell ref="B32:B40"/>
    <mergeCell ref="D41:D48"/>
    <mergeCell ref="C32:C40"/>
    <mergeCell ref="A6:J7"/>
    <mergeCell ref="A11:A15"/>
    <mergeCell ref="B11:B15"/>
    <mergeCell ref="C11:C15"/>
    <mergeCell ref="D11:D15"/>
    <mergeCell ref="J11:J15"/>
    <mergeCell ref="A25:A31"/>
    <mergeCell ref="A19:A24"/>
    <mergeCell ref="C73:C74"/>
    <mergeCell ref="A73:A74"/>
    <mergeCell ref="D73:D74"/>
    <mergeCell ref="C25:C31"/>
    <mergeCell ref="A51:A66"/>
    <mergeCell ref="B51:B66"/>
    <mergeCell ref="C51:C66"/>
    <mergeCell ref="D51:D66"/>
    <mergeCell ref="B73:B74"/>
    <mergeCell ref="A69:A70"/>
    <mergeCell ref="B86:B92"/>
    <mergeCell ref="D86:D92"/>
    <mergeCell ref="A86:A92"/>
    <mergeCell ref="C86:C92"/>
    <mergeCell ref="A107:A108"/>
    <mergeCell ref="B107:B108"/>
    <mergeCell ref="C107:C108"/>
    <mergeCell ref="D107:D108"/>
    <mergeCell ref="A78:A79"/>
    <mergeCell ref="B78:B79"/>
    <mergeCell ref="C78:C79"/>
    <mergeCell ref="D78:D79"/>
    <mergeCell ref="A93:A100"/>
    <mergeCell ref="B93:B100"/>
    <mergeCell ref="C93:C100"/>
    <mergeCell ref="D93:D100"/>
    <mergeCell ref="A101:A106"/>
    <mergeCell ref="B101:B106"/>
    <mergeCell ref="C101:C106"/>
    <mergeCell ref="D101:D106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75" zoomScaleNormal="75" zoomScalePageLayoutView="0" workbookViewId="0" topLeftCell="A1">
      <pane xSplit="6" ySplit="17" topLeftCell="G182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5" sqref="I5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112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297</v>
      </c>
      <c r="J1" s="8"/>
    </row>
    <row r="2" spans="9:11" ht="18.75">
      <c r="I2" s="46" t="s">
        <v>362</v>
      </c>
      <c r="J2" s="113"/>
      <c r="K2"/>
    </row>
    <row r="3" spans="9:11" ht="18.75">
      <c r="I3" s="30" t="s">
        <v>287</v>
      </c>
      <c r="J3" s="8"/>
      <c r="K3"/>
    </row>
    <row r="4" spans="9:11" ht="18.75">
      <c r="I4" s="30" t="s">
        <v>363</v>
      </c>
      <c r="J4" s="8"/>
      <c r="K4"/>
    </row>
    <row r="5" spans="9:10" ht="15.75">
      <c r="I5"/>
      <c r="J5"/>
    </row>
    <row r="6" spans="1:10" ht="20.25">
      <c r="A6" s="401" t="s">
        <v>767</v>
      </c>
      <c r="B6" s="401"/>
      <c r="C6" s="401"/>
      <c r="D6" s="401"/>
      <c r="E6" s="401"/>
      <c r="F6" s="401"/>
      <c r="G6" s="401"/>
      <c r="H6" s="401"/>
      <c r="I6" s="401"/>
      <c r="J6" s="401"/>
    </row>
    <row r="7" ht="15.75">
      <c r="A7" s="112">
        <v>21528000000</v>
      </c>
    </row>
    <row r="8" ht="15.75">
      <c r="A8" s="114" t="s">
        <v>389</v>
      </c>
    </row>
    <row r="9" ht="15.75">
      <c r="J9" s="112" t="s">
        <v>369</v>
      </c>
    </row>
    <row r="10" spans="1:10" s="116" customFormat="1" ht="41.25" customHeight="1">
      <c r="A10" s="402" t="s">
        <v>391</v>
      </c>
      <c r="B10" s="402" t="s">
        <v>392</v>
      </c>
      <c r="C10" s="402" t="s">
        <v>380</v>
      </c>
      <c r="D10" s="402" t="s">
        <v>768</v>
      </c>
      <c r="E10" s="402" t="s">
        <v>769</v>
      </c>
      <c r="F10" s="402" t="s">
        <v>770</v>
      </c>
      <c r="G10" s="402" t="s">
        <v>371</v>
      </c>
      <c r="H10" s="402" t="s">
        <v>372</v>
      </c>
      <c r="I10" s="402" t="s">
        <v>373</v>
      </c>
      <c r="J10" s="402"/>
    </row>
    <row r="11" spans="1:10" s="116" customFormat="1" ht="9.75" customHeight="1" hidden="1">
      <c r="A11" s="402"/>
      <c r="B11" s="402"/>
      <c r="C11" s="402"/>
      <c r="D11" s="402"/>
      <c r="E11" s="402"/>
      <c r="F11" s="402"/>
      <c r="G11" s="402"/>
      <c r="H11" s="402"/>
      <c r="I11" s="402"/>
      <c r="J11" s="402"/>
    </row>
    <row r="12" spans="1:10" s="116" customFormat="1" ht="15.75" hidden="1">
      <c r="A12" s="402"/>
      <c r="B12" s="402"/>
      <c r="C12" s="402"/>
      <c r="D12" s="402"/>
      <c r="E12" s="402"/>
      <c r="F12" s="402"/>
      <c r="G12" s="402"/>
      <c r="H12" s="402"/>
      <c r="I12" s="402"/>
      <c r="J12" s="402"/>
    </row>
    <row r="13" spans="1:10" s="116" customFormat="1" ht="9.75" customHeight="1" hidden="1">
      <c r="A13" s="402"/>
      <c r="B13" s="402"/>
      <c r="C13" s="402"/>
      <c r="D13" s="402"/>
      <c r="E13" s="402"/>
      <c r="F13" s="402"/>
      <c r="G13" s="402"/>
      <c r="H13" s="402"/>
      <c r="I13" s="402"/>
      <c r="J13" s="402"/>
    </row>
    <row r="14" spans="1:10" s="116" customFormat="1" ht="15.75" hidden="1">
      <c r="A14" s="402"/>
      <c r="B14" s="402"/>
      <c r="C14" s="402"/>
      <c r="D14" s="402"/>
      <c r="E14" s="402"/>
      <c r="F14" s="402"/>
      <c r="G14" s="402"/>
      <c r="H14" s="402"/>
      <c r="I14" s="402"/>
      <c r="J14" s="402"/>
    </row>
    <row r="15" spans="1:10" s="116" customFormat="1" ht="51" customHeight="1">
      <c r="A15" s="402"/>
      <c r="B15" s="402"/>
      <c r="C15" s="402"/>
      <c r="D15" s="402"/>
      <c r="E15" s="402"/>
      <c r="F15" s="402"/>
      <c r="G15" s="402"/>
      <c r="H15" s="402"/>
      <c r="I15" s="402" t="s">
        <v>374</v>
      </c>
      <c r="J15" s="402" t="s">
        <v>375</v>
      </c>
    </row>
    <row r="16" spans="1:10" s="116" customFormat="1" ht="99.75" customHeight="1">
      <c r="A16" s="402"/>
      <c r="B16" s="402"/>
      <c r="C16" s="402"/>
      <c r="D16" s="402"/>
      <c r="E16" s="402"/>
      <c r="F16" s="402"/>
      <c r="G16" s="402"/>
      <c r="H16" s="402"/>
      <c r="I16" s="402"/>
      <c r="J16" s="402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17" t="s">
        <v>394</v>
      </c>
      <c r="B18" s="117"/>
      <c r="C18" s="117"/>
      <c r="D18" s="118" t="s">
        <v>395</v>
      </c>
      <c r="E18" s="26"/>
      <c r="F18" s="26"/>
      <c r="G18" s="36">
        <f>G19</f>
        <v>118314517</v>
      </c>
      <c r="H18" s="36">
        <f>H19</f>
        <v>88676836</v>
      </c>
      <c r="I18" s="36">
        <f>I19</f>
        <v>29637681</v>
      </c>
      <c r="J18" s="36">
        <f>J19</f>
        <v>28655723</v>
      </c>
    </row>
    <row r="19" spans="1:10" ht="15.75">
      <c r="A19" s="117" t="s">
        <v>396</v>
      </c>
      <c r="B19" s="117"/>
      <c r="C19" s="117"/>
      <c r="D19" s="118" t="s">
        <v>395</v>
      </c>
      <c r="E19" s="26"/>
      <c r="F19" s="26"/>
      <c r="G19" s="36">
        <f>SUM(G20:G67)</f>
        <v>118314517</v>
      </c>
      <c r="H19" s="36">
        <f>SUM(H20:H67)</f>
        <v>88676836</v>
      </c>
      <c r="I19" s="36">
        <f>SUM(I20:I67)</f>
        <v>29637681</v>
      </c>
      <c r="J19" s="36">
        <f>SUM(J20:J67)</f>
        <v>28655723</v>
      </c>
    </row>
    <row r="20" spans="1:10" ht="106.5" customHeight="1">
      <c r="A20" s="119" t="s">
        <v>397</v>
      </c>
      <c r="B20" s="119" t="s">
        <v>398</v>
      </c>
      <c r="C20" s="119" t="s">
        <v>399</v>
      </c>
      <c r="D20" s="120" t="s">
        <v>400</v>
      </c>
      <c r="E20" s="120" t="s">
        <v>771</v>
      </c>
      <c r="F20" s="115" t="s">
        <v>141</v>
      </c>
      <c r="G20" s="34">
        <f>H20+I20</f>
        <v>901468</v>
      </c>
      <c r="H20" s="34">
        <f>198326+201505+71594+62000+99942+27791+49900</f>
        <v>711058</v>
      </c>
      <c r="I20" s="34">
        <f>J20</f>
        <v>190410</v>
      </c>
      <c r="J20" s="34">
        <f>180650+9760</f>
        <v>190410</v>
      </c>
    </row>
    <row r="21" spans="1:10" ht="78.75">
      <c r="A21" s="119" t="s">
        <v>404</v>
      </c>
      <c r="B21" s="121" t="s">
        <v>405</v>
      </c>
      <c r="C21" s="122" t="s">
        <v>406</v>
      </c>
      <c r="D21" s="120" t="s">
        <v>772</v>
      </c>
      <c r="E21" s="123" t="s">
        <v>773</v>
      </c>
      <c r="F21" s="115" t="s">
        <v>774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403" t="s">
        <v>409</v>
      </c>
      <c r="B22" s="404" t="s">
        <v>410</v>
      </c>
      <c r="C22" s="403" t="s">
        <v>411</v>
      </c>
      <c r="D22" s="405" t="s">
        <v>412</v>
      </c>
      <c r="E22" s="124" t="s">
        <v>0</v>
      </c>
      <c r="F22" s="125" t="s">
        <v>1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403"/>
      <c r="B23" s="404"/>
      <c r="C23" s="403"/>
      <c r="D23" s="405"/>
      <c r="E23" s="124" t="s">
        <v>2</v>
      </c>
      <c r="F23" s="115" t="s">
        <v>129</v>
      </c>
      <c r="G23" s="34">
        <f>H23+I23</f>
        <v>15001813</v>
      </c>
      <c r="H23" s="35">
        <f>4432232+1098750+135494+750000+137200+169202+71920+750000+20110+650000+270000+73301+184887+200000+195908+58000+72630+32030+68020-6999-100000+85028+25600</f>
        <v>9373313</v>
      </c>
      <c r="I23" s="34">
        <f>J23</f>
        <v>5628500</v>
      </c>
      <c r="J23" s="34">
        <f>4727000+211500+315000+375000</f>
        <v>5628500</v>
      </c>
    </row>
    <row r="24" spans="1:10" ht="96" customHeight="1">
      <c r="A24" s="119" t="s">
        <v>421</v>
      </c>
      <c r="B24" s="119" t="s">
        <v>422</v>
      </c>
      <c r="C24" s="119" t="s">
        <v>423</v>
      </c>
      <c r="D24" s="123" t="s">
        <v>424</v>
      </c>
      <c r="E24" s="124" t="s">
        <v>3</v>
      </c>
      <c r="F24" s="115" t="s">
        <v>130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4.5">
      <c r="A25" s="406" t="s">
        <v>417</v>
      </c>
      <c r="B25" s="407">
        <v>2152</v>
      </c>
      <c r="C25" s="406" t="s">
        <v>419</v>
      </c>
      <c r="D25" s="405" t="s">
        <v>420</v>
      </c>
      <c r="E25" s="124" t="s">
        <v>4</v>
      </c>
      <c r="F25" s="125" t="s">
        <v>5</v>
      </c>
      <c r="G25" s="34">
        <f t="shared" si="0"/>
        <v>199000</v>
      </c>
      <c r="H25" s="34">
        <v>199000</v>
      </c>
      <c r="I25" s="34"/>
      <c r="J25" s="34"/>
    </row>
    <row r="26" spans="1:10" ht="78.75">
      <c r="A26" s="406"/>
      <c r="B26" s="407"/>
      <c r="C26" s="406"/>
      <c r="D26" s="405"/>
      <c r="E26" s="124" t="s">
        <v>153</v>
      </c>
      <c r="F26" s="125" t="s">
        <v>6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4.5">
      <c r="A27" s="406"/>
      <c r="B27" s="407"/>
      <c r="C27" s="406"/>
      <c r="D27" s="405"/>
      <c r="E27" s="124" t="s">
        <v>147</v>
      </c>
      <c r="F27" s="125" t="s">
        <v>7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406"/>
      <c r="B28" s="407"/>
      <c r="C28" s="409"/>
      <c r="D28" s="410"/>
      <c r="E28" s="124" t="s">
        <v>8</v>
      </c>
      <c r="F28" s="115" t="s">
        <v>131</v>
      </c>
      <c r="G28" s="34">
        <f t="shared" si="0"/>
        <v>3976412</v>
      </c>
      <c r="H28" s="34">
        <f>4654600-476620+100000+230000-100000-431568</f>
        <v>3976412</v>
      </c>
      <c r="I28" s="34"/>
      <c r="J28" s="34"/>
    </row>
    <row r="29" spans="1:10" ht="98.25" customHeight="1">
      <c r="A29" s="406"/>
      <c r="B29" s="407"/>
      <c r="C29" s="409"/>
      <c r="D29" s="410"/>
      <c r="E29" s="124" t="s">
        <v>3</v>
      </c>
      <c r="F29" s="115" t="s">
        <v>130</v>
      </c>
      <c r="G29" s="34">
        <f t="shared" si="0"/>
        <v>806039</v>
      </c>
      <c r="H29" s="34">
        <f>106039+600000+100000</f>
        <v>806039</v>
      </c>
      <c r="I29" s="34"/>
      <c r="J29" s="34"/>
    </row>
    <row r="30" spans="1:10" ht="110.25" customHeight="1">
      <c r="A30" s="406"/>
      <c r="B30" s="407"/>
      <c r="C30" s="409"/>
      <c r="D30" s="410"/>
      <c r="E30" s="124" t="s">
        <v>9</v>
      </c>
      <c r="F30" s="125" t="s">
        <v>10</v>
      </c>
      <c r="G30" s="34">
        <f t="shared" si="0"/>
        <v>1578500</v>
      </c>
      <c r="H30" s="34">
        <f>1356000+122500+100000</f>
        <v>1578500</v>
      </c>
      <c r="I30" s="34"/>
      <c r="J30" s="34"/>
    </row>
    <row r="31" spans="1:10" ht="106.5" customHeight="1">
      <c r="A31" s="119" t="s">
        <v>427</v>
      </c>
      <c r="B31" s="127">
        <v>3112</v>
      </c>
      <c r="C31" s="122" t="s">
        <v>429</v>
      </c>
      <c r="D31" s="123" t="s">
        <v>430</v>
      </c>
      <c r="E31" s="128" t="s">
        <v>11</v>
      </c>
      <c r="F31" s="115" t="s">
        <v>12</v>
      </c>
      <c r="G31" s="34">
        <f t="shared" si="0"/>
        <v>5000</v>
      </c>
      <c r="H31" s="34">
        <v>5000</v>
      </c>
      <c r="I31" s="34"/>
      <c r="J31" s="34"/>
    </row>
    <row r="32" spans="1:10" ht="94.5">
      <c r="A32" s="119" t="s">
        <v>431</v>
      </c>
      <c r="B32" s="119" t="s">
        <v>432</v>
      </c>
      <c r="C32" s="119" t="s">
        <v>433</v>
      </c>
      <c r="D32" s="123" t="s">
        <v>434</v>
      </c>
      <c r="E32" s="124" t="s">
        <v>4</v>
      </c>
      <c r="F32" s="125" t="s">
        <v>5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.75">
      <c r="A33" s="119" t="s">
        <v>743</v>
      </c>
      <c r="B33" s="119" t="s">
        <v>732</v>
      </c>
      <c r="C33" s="119" t="s">
        <v>733</v>
      </c>
      <c r="D33" s="123" t="s">
        <v>734</v>
      </c>
      <c r="E33" s="129" t="s">
        <v>154</v>
      </c>
      <c r="F33" s="125" t="s">
        <v>132</v>
      </c>
      <c r="G33" s="34">
        <f>H33+I33</f>
        <v>112368</v>
      </c>
      <c r="H33" s="34">
        <f>89320+23048</f>
        <v>112368</v>
      </c>
      <c r="I33" s="34"/>
      <c r="J33" s="34"/>
    </row>
    <row r="34" spans="1:10" ht="94.5">
      <c r="A34" s="119" t="s">
        <v>435</v>
      </c>
      <c r="B34" s="119" t="s">
        <v>436</v>
      </c>
      <c r="C34" s="119" t="s">
        <v>437</v>
      </c>
      <c r="D34" s="123" t="s">
        <v>13</v>
      </c>
      <c r="E34" s="124" t="s">
        <v>4</v>
      </c>
      <c r="F34" s="125" t="s">
        <v>5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439</v>
      </c>
      <c r="B35" s="119" t="s">
        <v>440</v>
      </c>
      <c r="C35" s="119" t="s">
        <v>441</v>
      </c>
      <c r="D35" s="123" t="s">
        <v>442</v>
      </c>
      <c r="E35" s="120" t="s">
        <v>14</v>
      </c>
      <c r="F35" s="125" t="s">
        <v>15</v>
      </c>
      <c r="G35" s="34">
        <f>H35+I35</f>
        <v>1303522</v>
      </c>
      <c r="H35" s="34">
        <f>253522+50000+500000+500000</f>
        <v>1303522</v>
      </c>
      <c r="I35" s="34"/>
      <c r="J35" s="34"/>
    </row>
    <row r="36" spans="1:10" ht="94.5">
      <c r="A36" s="119" t="s">
        <v>443</v>
      </c>
      <c r="B36" s="119" t="s">
        <v>444</v>
      </c>
      <c r="C36" s="119" t="s">
        <v>441</v>
      </c>
      <c r="D36" s="123" t="s">
        <v>445</v>
      </c>
      <c r="E36" s="120" t="s">
        <v>14</v>
      </c>
      <c r="F36" s="125" t="s">
        <v>15</v>
      </c>
      <c r="G36" s="34">
        <f t="shared" si="0"/>
        <v>1548700</v>
      </c>
      <c r="H36" s="34">
        <f>1184800+500000-136100</f>
        <v>1548700</v>
      </c>
      <c r="I36" s="34"/>
      <c r="J36" s="34"/>
    </row>
    <row r="37" spans="1:10" ht="109.5" customHeight="1">
      <c r="A37" s="119" t="s">
        <v>446</v>
      </c>
      <c r="B37" s="119" t="s">
        <v>447</v>
      </c>
      <c r="C37" s="119" t="s">
        <v>441</v>
      </c>
      <c r="D37" s="123" t="s">
        <v>16</v>
      </c>
      <c r="E37" s="128" t="s">
        <v>17</v>
      </c>
      <c r="F37" s="130" t="s">
        <v>18</v>
      </c>
      <c r="G37" s="34">
        <f t="shared" si="0"/>
        <v>4600000</v>
      </c>
      <c r="H37" s="34">
        <f>2000000+1000000+1000000+600000</f>
        <v>4600000</v>
      </c>
      <c r="I37" s="34"/>
      <c r="J37" s="34"/>
    </row>
    <row r="38" spans="1:10" ht="110.25" customHeight="1">
      <c r="A38" s="119" t="s">
        <v>449</v>
      </c>
      <c r="B38" s="119" t="s">
        <v>450</v>
      </c>
      <c r="C38" s="119" t="s">
        <v>441</v>
      </c>
      <c r="D38" s="123" t="s">
        <v>451</v>
      </c>
      <c r="E38" s="120" t="s">
        <v>14</v>
      </c>
      <c r="F38" s="125" t="s">
        <v>15</v>
      </c>
      <c r="G38" s="34">
        <f t="shared" si="0"/>
        <v>1673268</v>
      </c>
      <c r="H38" s="34">
        <f>300000+400000+473268+100000+200000+200000</f>
        <v>1673268</v>
      </c>
      <c r="I38" s="34"/>
      <c r="J38" s="34"/>
    </row>
    <row r="39" spans="1:10" ht="115.5" customHeight="1">
      <c r="A39" s="119" t="s">
        <v>452</v>
      </c>
      <c r="B39" s="122" t="s">
        <v>453</v>
      </c>
      <c r="C39" s="122" t="s">
        <v>441</v>
      </c>
      <c r="D39" s="123" t="s">
        <v>454</v>
      </c>
      <c r="E39" s="128" t="s">
        <v>17</v>
      </c>
      <c r="F39" s="130" t="s">
        <v>18</v>
      </c>
      <c r="G39" s="34">
        <f t="shared" si="0"/>
        <v>32317015</v>
      </c>
      <c r="H39" s="34">
        <f>31117320+113068+74521+500000+300000+23268+38838+100000+50000</f>
        <v>32317015</v>
      </c>
      <c r="I39" s="34"/>
      <c r="J39" s="34"/>
    </row>
    <row r="40" spans="1:10" ht="103.5" customHeight="1">
      <c r="A40" s="119" t="s">
        <v>751</v>
      </c>
      <c r="B40" s="119" t="s">
        <v>752</v>
      </c>
      <c r="C40" s="119" t="s">
        <v>455</v>
      </c>
      <c r="D40" s="145" t="s">
        <v>753</v>
      </c>
      <c r="E40" s="120" t="s">
        <v>14</v>
      </c>
      <c r="F40" s="125" t="s">
        <v>15</v>
      </c>
      <c r="G40" s="34">
        <f t="shared" si="0"/>
        <v>2236676</v>
      </c>
      <c r="H40" s="34">
        <f>1030968+805708+400000</f>
        <v>2236676</v>
      </c>
      <c r="I40" s="34"/>
      <c r="J40" s="34"/>
    </row>
    <row r="41" spans="1:10" ht="93.75" customHeight="1">
      <c r="A41" s="406" t="s">
        <v>456</v>
      </c>
      <c r="B41" s="406" t="s">
        <v>457</v>
      </c>
      <c r="C41" s="406" t="s">
        <v>455</v>
      </c>
      <c r="D41" s="408" t="s">
        <v>458</v>
      </c>
      <c r="E41" s="124" t="s">
        <v>4</v>
      </c>
      <c r="F41" s="125" t="s">
        <v>5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407"/>
      <c r="B42" s="407"/>
      <c r="C42" s="407"/>
      <c r="D42" s="405"/>
      <c r="E42" s="128" t="s">
        <v>17</v>
      </c>
      <c r="F42" s="130" t="s">
        <v>18</v>
      </c>
      <c r="G42" s="34">
        <f t="shared" si="0"/>
        <v>150000</v>
      </c>
      <c r="H42" s="34">
        <v>150000</v>
      </c>
      <c r="I42" s="34"/>
      <c r="J42" s="34"/>
    </row>
    <row r="43" spans="1:10" ht="78.75" hidden="1">
      <c r="A43" s="119" t="s">
        <v>459</v>
      </c>
      <c r="B43" s="119" t="s">
        <v>460</v>
      </c>
      <c r="C43" s="119" t="s">
        <v>461</v>
      </c>
      <c r="D43" s="131" t="s">
        <v>19</v>
      </c>
      <c r="E43" s="128" t="s">
        <v>20</v>
      </c>
      <c r="F43" s="125" t="s">
        <v>21</v>
      </c>
      <c r="G43" s="34">
        <f t="shared" si="0"/>
        <v>0</v>
      </c>
      <c r="H43" s="34">
        <f>100000-100000</f>
        <v>0</v>
      </c>
      <c r="I43" s="34"/>
      <c r="J43" s="34"/>
    </row>
    <row r="44" spans="1:10" ht="94.5">
      <c r="A44" s="406" t="s">
        <v>717</v>
      </c>
      <c r="B44" s="406" t="s">
        <v>666</v>
      </c>
      <c r="C44" s="406" t="s">
        <v>463</v>
      </c>
      <c r="D44" s="405" t="s">
        <v>667</v>
      </c>
      <c r="E44" s="124" t="s">
        <v>22</v>
      </c>
      <c r="F44" s="130" t="s">
        <v>133</v>
      </c>
      <c r="G44" s="34">
        <f>H44+I44</f>
        <v>2337124</v>
      </c>
      <c r="H44" s="34"/>
      <c r="I44" s="34">
        <f aca="true" t="shared" si="1" ref="I44:I51">J44</f>
        <v>2337124</v>
      </c>
      <c r="J44" s="34">
        <f>1489850+1061729+799188-1013643</f>
        <v>2337124</v>
      </c>
    </row>
    <row r="45" spans="1:10" ht="94.5">
      <c r="A45" s="411"/>
      <c r="B45" s="411"/>
      <c r="C45" s="411"/>
      <c r="D45" s="412"/>
      <c r="E45" s="128" t="s">
        <v>24</v>
      </c>
      <c r="F45" s="130" t="s">
        <v>25</v>
      </c>
      <c r="G45" s="34">
        <f>H45+I45</f>
        <v>387961</v>
      </c>
      <c r="H45" s="34"/>
      <c r="I45" s="34">
        <f t="shared" si="1"/>
        <v>387961</v>
      </c>
      <c r="J45" s="34">
        <f>401229-13268</f>
        <v>387961</v>
      </c>
    </row>
    <row r="46" spans="1:10" ht="94.5">
      <c r="A46" s="427" t="s">
        <v>748</v>
      </c>
      <c r="B46" s="427" t="s">
        <v>749</v>
      </c>
      <c r="C46" s="427" t="s">
        <v>463</v>
      </c>
      <c r="D46" s="429" t="s">
        <v>750</v>
      </c>
      <c r="E46" s="124" t="s">
        <v>0</v>
      </c>
      <c r="F46" s="125" t="s">
        <v>1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4.5">
      <c r="A47" s="428"/>
      <c r="B47" s="428"/>
      <c r="C47" s="428"/>
      <c r="D47" s="430"/>
      <c r="E47" s="124" t="s">
        <v>3</v>
      </c>
      <c r="F47" s="115" t="s">
        <v>130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4.5">
      <c r="A48" s="367"/>
      <c r="B48" s="367"/>
      <c r="C48" s="367"/>
      <c r="D48" s="374"/>
      <c r="E48" s="124" t="s">
        <v>2</v>
      </c>
      <c r="F48" s="115" t="s">
        <v>129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4.5">
      <c r="A49" s="406" t="s">
        <v>702</v>
      </c>
      <c r="B49" s="406" t="s">
        <v>621</v>
      </c>
      <c r="C49" s="406" t="s">
        <v>463</v>
      </c>
      <c r="D49" s="405" t="s">
        <v>703</v>
      </c>
      <c r="E49" s="124" t="s">
        <v>22</v>
      </c>
      <c r="F49" s="130" t="s">
        <v>134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411"/>
      <c r="B50" s="411"/>
      <c r="C50" s="411"/>
      <c r="D50" s="412"/>
      <c r="E50" s="128" t="s">
        <v>17</v>
      </c>
      <c r="F50" s="130" t="s">
        <v>18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678</v>
      </c>
      <c r="B51" s="119" t="s">
        <v>676</v>
      </c>
      <c r="C51" s="119" t="s">
        <v>464</v>
      </c>
      <c r="D51" s="120" t="s">
        <v>677</v>
      </c>
      <c r="E51" s="124" t="s">
        <v>22</v>
      </c>
      <c r="F51" s="130" t="s">
        <v>134</v>
      </c>
      <c r="G51" s="34">
        <f t="shared" si="0"/>
        <v>3272395</v>
      </c>
      <c r="H51" s="34"/>
      <c r="I51" s="34">
        <f t="shared" si="1"/>
        <v>3272395</v>
      </c>
      <c r="J51" s="34">
        <f>2711044-1404337-190000+2155688</f>
        <v>3272395</v>
      </c>
    </row>
    <row r="52" spans="1:10" ht="96" customHeight="1">
      <c r="A52" s="119" t="s">
        <v>744</v>
      </c>
      <c r="B52" s="119" t="s">
        <v>745</v>
      </c>
      <c r="C52" s="119" t="s">
        <v>746</v>
      </c>
      <c r="D52" s="123" t="s">
        <v>747</v>
      </c>
      <c r="E52" s="124" t="s">
        <v>26</v>
      </c>
      <c r="F52" s="130" t="s">
        <v>135</v>
      </c>
      <c r="G52" s="34">
        <f>H52+I52</f>
        <v>644338</v>
      </c>
      <c r="H52" s="34">
        <f>187310+219817+130294+106917</f>
        <v>644338</v>
      </c>
      <c r="I52" s="34"/>
      <c r="J52" s="34"/>
    </row>
    <row r="53" spans="1:10" ht="108.75" customHeight="1">
      <c r="A53" s="119" t="s">
        <v>143</v>
      </c>
      <c r="B53" s="119" t="s">
        <v>144</v>
      </c>
      <c r="C53" s="119" t="s">
        <v>746</v>
      </c>
      <c r="D53" s="123" t="s">
        <v>145</v>
      </c>
      <c r="E53" s="120" t="s">
        <v>14</v>
      </c>
      <c r="F53" s="125" t="s">
        <v>15</v>
      </c>
      <c r="G53" s="34">
        <f>H53+I53</f>
        <v>645000</v>
      </c>
      <c r="H53" s="34">
        <f>195000+450000</f>
        <v>645000</v>
      </c>
      <c r="I53" s="34"/>
      <c r="J53" s="34"/>
    </row>
    <row r="54" spans="1:10" ht="129" customHeight="1">
      <c r="A54" s="119" t="s">
        <v>465</v>
      </c>
      <c r="B54" s="119" t="s">
        <v>466</v>
      </c>
      <c r="C54" s="119" t="s">
        <v>467</v>
      </c>
      <c r="D54" s="123" t="s">
        <v>468</v>
      </c>
      <c r="E54" s="128" t="s">
        <v>17</v>
      </c>
      <c r="F54" s="130" t="s">
        <v>18</v>
      </c>
      <c r="G54" s="34">
        <f t="shared" si="0"/>
        <v>7657091</v>
      </c>
      <c r="H54" s="34">
        <f>7500000+157091</f>
        <v>7657091</v>
      </c>
      <c r="I54" s="34"/>
      <c r="J54" s="34"/>
    </row>
    <row r="55" spans="1:10" ht="110.25" customHeight="1">
      <c r="A55" s="416" t="s">
        <v>679</v>
      </c>
      <c r="B55" s="416" t="s">
        <v>680</v>
      </c>
      <c r="C55" s="416" t="s">
        <v>464</v>
      </c>
      <c r="D55" s="417" t="s">
        <v>681</v>
      </c>
      <c r="E55" s="120" t="s">
        <v>14</v>
      </c>
      <c r="F55" s="125" t="s">
        <v>15</v>
      </c>
      <c r="G55" s="34">
        <f t="shared" si="0"/>
        <v>10892931</v>
      </c>
      <c r="H55" s="34"/>
      <c r="I55" s="34">
        <f>J55</f>
        <v>10892931</v>
      </c>
      <c r="J55" s="34">
        <f>13750000+512640+65306+239000-4500000+40000+500000+67224-300150+222500+245292+27948+23171</f>
        <v>10892931</v>
      </c>
    </row>
    <row r="56" spans="1:10" ht="122.25" customHeight="1" hidden="1">
      <c r="A56" s="342"/>
      <c r="B56" s="342"/>
      <c r="C56" s="342"/>
      <c r="D56" s="397"/>
      <c r="E56" s="124" t="s">
        <v>0</v>
      </c>
      <c r="F56" s="125" t="s">
        <v>1</v>
      </c>
      <c r="G56" s="34">
        <f t="shared" si="0"/>
        <v>0</v>
      </c>
      <c r="H56" s="34"/>
      <c r="I56" s="34">
        <f>J56</f>
        <v>0</v>
      </c>
      <c r="J56" s="34">
        <f>945200-790494-154706</f>
        <v>0</v>
      </c>
    </row>
    <row r="57" spans="1:10" ht="109.5" customHeight="1">
      <c r="A57" s="119" t="s">
        <v>469</v>
      </c>
      <c r="B57" s="119" t="s">
        <v>470</v>
      </c>
      <c r="C57" s="119" t="s">
        <v>464</v>
      </c>
      <c r="D57" s="120" t="s">
        <v>471</v>
      </c>
      <c r="E57" s="120" t="s">
        <v>27</v>
      </c>
      <c r="F57" s="115" t="s">
        <v>28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99" customHeight="1">
      <c r="A58" s="406" t="s">
        <v>472</v>
      </c>
      <c r="B58" s="406" t="s">
        <v>473</v>
      </c>
      <c r="C58" s="406" t="s">
        <v>464</v>
      </c>
      <c r="D58" s="414" t="s">
        <v>474</v>
      </c>
      <c r="E58" s="120" t="s">
        <v>771</v>
      </c>
      <c r="F58" s="115" t="s">
        <v>28</v>
      </c>
      <c r="G58" s="34">
        <f t="shared" si="0"/>
        <v>2514884</v>
      </c>
      <c r="H58" s="34">
        <f>14000+36000+28618+840000+31340+98700+38420+400000+17669+195000+78000+386452+195364+32500+49982+23108+49731</f>
        <v>2514884</v>
      </c>
      <c r="I58" s="34"/>
      <c r="J58" s="34"/>
    </row>
    <row r="59" spans="1:10" ht="78.75" customHeight="1">
      <c r="A59" s="406"/>
      <c r="B59" s="406"/>
      <c r="C59" s="406"/>
      <c r="D59" s="414"/>
      <c r="E59" s="123" t="s">
        <v>29</v>
      </c>
      <c r="F59" s="130" t="s">
        <v>361</v>
      </c>
      <c r="G59" s="34">
        <f t="shared" si="0"/>
        <v>6000</v>
      </c>
      <c r="H59" s="34">
        <v>6000</v>
      </c>
      <c r="I59" s="34"/>
      <c r="J59" s="34"/>
    </row>
    <row r="60" spans="1:10" ht="102.75" customHeight="1">
      <c r="A60" s="407"/>
      <c r="B60" s="407"/>
      <c r="C60" s="407"/>
      <c r="D60" s="415"/>
      <c r="E60" s="120" t="s">
        <v>30</v>
      </c>
      <c r="F60" s="125" t="s">
        <v>136</v>
      </c>
      <c r="G60" s="34">
        <f t="shared" si="0"/>
        <v>400000</v>
      </c>
      <c r="H60" s="34">
        <f>300000+195000-195000+100000</f>
        <v>400000</v>
      </c>
      <c r="I60" s="34"/>
      <c r="J60" s="34"/>
    </row>
    <row r="61" spans="1:10" ht="116.25" customHeight="1">
      <c r="A61" s="407"/>
      <c r="B61" s="407"/>
      <c r="C61" s="407"/>
      <c r="D61" s="415"/>
      <c r="E61" s="120" t="s">
        <v>31</v>
      </c>
      <c r="F61" s="125" t="s">
        <v>32</v>
      </c>
      <c r="G61" s="34">
        <f>H61</f>
        <v>91204</v>
      </c>
      <c r="H61" s="34">
        <f>91204</f>
        <v>91204</v>
      </c>
      <c r="I61" s="34"/>
      <c r="J61" s="34"/>
    </row>
    <row r="62" spans="1:10" ht="109.5" customHeight="1">
      <c r="A62" s="407"/>
      <c r="B62" s="407"/>
      <c r="C62" s="407"/>
      <c r="D62" s="415"/>
      <c r="E62" s="120" t="s">
        <v>14</v>
      </c>
      <c r="F62" s="125" t="s">
        <v>15</v>
      </c>
      <c r="G62" s="34">
        <f t="shared" si="0"/>
        <v>954655</v>
      </c>
      <c r="H62" s="34">
        <f>456628-300000+700000+70027+28000</f>
        <v>954655</v>
      </c>
      <c r="I62" s="34"/>
      <c r="J62" s="34"/>
    </row>
    <row r="63" spans="1:10" ht="90.75" customHeight="1">
      <c r="A63" s="407"/>
      <c r="B63" s="407"/>
      <c r="C63" s="407"/>
      <c r="D63" s="415"/>
      <c r="E63" s="128" t="s">
        <v>33</v>
      </c>
      <c r="F63" s="130" t="s">
        <v>137</v>
      </c>
      <c r="G63" s="34">
        <f t="shared" si="0"/>
        <v>620429</v>
      </c>
      <c r="H63" s="34">
        <f>90000+495127+58410-23108</f>
        <v>620429</v>
      </c>
      <c r="I63" s="34"/>
      <c r="J63" s="34"/>
    </row>
    <row r="64" spans="1:10" ht="94.5">
      <c r="A64" s="119" t="s">
        <v>475</v>
      </c>
      <c r="B64" s="126">
        <v>8210</v>
      </c>
      <c r="C64" s="119" t="s">
        <v>477</v>
      </c>
      <c r="D64" s="120" t="s">
        <v>478</v>
      </c>
      <c r="E64" s="123" t="s">
        <v>34</v>
      </c>
      <c r="F64" s="125" t="s">
        <v>138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8.75">
      <c r="A65" s="119" t="s">
        <v>479</v>
      </c>
      <c r="B65" s="119" t="s">
        <v>480</v>
      </c>
      <c r="C65" s="119" t="s">
        <v>481</v>
      </c>
      <c r="D65" s="123" t="s">
        <v>482</v>
      </c>
      <c r="E65" s="128" t="s">
        <v>35</v>
      </c>
      <c r="F65" s="130" t="s">
        <v>36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.75">
      <c r="A66" s="119" t="s">
        <v>483</v>
      </c>
      <c r="B66" s="119" t="s">
        <v>484</v>
      </c>
      <c r="C66" s="119" t="s">
        <v>485</v>
      </c>
      <c r="D66" s="120" t="s">
        <v>486</v>
      </c>
      <c r="E66" s="120" t="s">
        <v>37</v>
      </c>
      <c r="F66" s="125" t="s">
        <v>38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19" t="s">
        <v>487</v>
      </c>
      <c r="B67" s="119" t="s">
        <v>488</v>
      </c>
      <c r="C67" s="119" t="s">
        <v>485</v>
      </c>
      <c r="D67" s="131" t="s">
        <v>489</v>
      </c>
      <c r="E67" s="120" t="s">
        <v>27</v>
      </c>
      <c r="F67" s="115" t="s">
        <v>28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7" t="s">
        <v>490</v>
      </c>
      <c r="B68" s="119"/>
      <c r="C68" s="122"/>
      <c r="D68" s="132" t="s">
        <v>39</v>
      </c>
      <c r="E68" s="128"/>
      <c r="F68" s="115"/>
      <c r="G68" s="36">
        <f>G69</f>
        <v>29047345</v>
      </c>
      <c r="H68" s="36">
        <f>H69</f>
        <v>15616549</v>
      </c>
      <c r="I68" s="36">
        <f>I69</f>
        <v>13430796</v>
      </c>
      <c r="J68" s="36">
        <f>J69</f>
        <v>6775082</v>
      </c>
    </row>
    <row r="69" spans="1:10" ht="33.75" customHeight="1">
      <c r="A69" s="117" t="s">
        <v>492</v>
      </c>
      <c r="B69" s="119"/>
      <c r="C69" s="122"/>
      <c r="D69" s="132" t="s">
        <v>39</v>
      </c>
      <c r="E69" s="128"/>
      <c r="F69" s="115"/>
      <c r="G69" s="36">
        <f>H69+I69</f>
        <v>29047345</v>
      </c>
      <c r="H69" s="36">
        <f>SUM(H70:H86)</f>
        <v>15616549</v>
      </c>
      <c r="I69" s="36">
        <f>SUM(I70:I86)</f>
        <v>13430796</v>
      </c>
      <c r="J69" s="36">
        <f>SUM(J70:J86)</f>
        <v>6775082</v>
      </c>
    </row>
    <row r="70" spans="1:10" ht="94.5">
      <c r="A70" s="119" t="s">
        <v>493</v>
      </c>
      <c r="B70" s="119" t="s">
        <v>494</v>
      </c>
      <c r="C70" s="119" t="s">
        <v>399</v>
      </c>
      <c r="D70" s="123" t="s">
        <v>495</v>
      </c>
      <c r="E70" s="120" t="s">
        <v>27</v>
      </c>
      <c r="F70" s="115" t="s">
        <v>28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406" t="s">
        <v>496</v>
      </c>
      <c r="B71" s="406" t="s">
        <v>497</v>
      </c>
      <c r="C71" s="403" t="s">
        <v>498</v>
      </c>
      <c r="D71" s="415" t="s">
        <v>499</v>
      </c>
      <c r="E71" s="128" t="s">
        <v>150</v>
      </c>
      <c r="F71" s="125" t="s">
        <v>41</v>
      </c>
      <c r="G71" s="34">
        <f aca="true" t="shared" si="2" ref="G71:G84">H71+I71</f>
        <v>9051051</v>
      </c>
      <c r="H71" s="34">
        <f>3688410+175500+2800+28916-6794-16800-16000</f>
        <v>3856032</v>
      </c>
      <c r="I71" s="34">
        <f>4900875+J71+225750</f>
        <v>5195019</v>
      </c>
      <c r="J71" s="34">
        <f>12000+16800+6794+16800+16000</f>
        <v>68394</v>
      </c>
    </row>
    <row r="72" spans="1:10" ht="103.5" customHeight="1">
      <c r="A72" s="407"/>
      <c r="B72" s="407"/>
      <c r="C72" s="418"/>
      <c r="D72" s="415"/>
      <c r="E72" s="128" t="s">
        <v>42</v>
      </c>
      <c r="F72" s="125" t="s">
        <v>43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406" t="s">
        <v>500</v>
      </c>
      <c r="B73" s="406" t="s">
        <v>501</v>
      </c>
      <c r="C73" s="406" t="s">
        <v>502</v>
      </c>
      <c r="D73" s="414" t="s">
        <v>705</v>
      </c>
      <c r="E73" s="120" t="s">
        <v>44</v>
      </c>
      <c r="F73" s="125" t="s">
        <v>45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413"/>
      <c r="B74" s="413"/>
      <c r="C74" s="413"/>
      <c r="D74" s="415"/>
      <c r="E74" s="128" t="s">
        <v>150</v>
      </c>
      <c r="F74" s="125" t="s">
        <v>41</v>
      </c>
      <c r="G74" s="34">
        <f t="shared" si="2"/>
        <v>10836276</v>
      </c>
      <c r="H74" s="34">
        <f>6632110+697533+50000+3568+304820+50000+1380210+34340+38094+517478+804-45716-3313+6510-102723+52723-400718-56663-49185</f>
        <v>9109872</v>
      </c>
      <c r="I74" s="34">
        <f>1308991+J74+212160</f>
        <v>1726404</v>
      </c>
      <c r="J74" s="34">
        <f>148120+232+56901</f>
        <v>205253</v>
      </c>
    </row>
    <row r="75" spans="1:10" ht="94.5" customHeight="1">
      <c r="A75" s="413"/>
      <c r="B75" s="413"/>
      <c r="C75" s="413"/>
      <c r="D75" s="415"/>
      <c r="E75" s="128" t="s">
        <v>42</v>
      </c>
      <c r="F75" s="125" t="s">
        <v>43</v>
      </c>
      <c r="G75" s="34">
        <f t="shared" si="2"/>
        <v>1821289</v>
      </c>
      <c r="H75" s="34">
        <v>1821289</v>
      </c>
      <c r="I75" s="34"/>
      <c r="J75" s="34"/>
    </row>
    <row r="76" spans="1:10" ht="96" customHeight="1">
      <c r="A76" s="406" t="s">
        <v>508</v>
      </c>
      <c r="B76" s="406" t="s">
        <v>437</v>
      </c>
      <c r="C76" s="406" t="s">
        <v>509</v>
      </c>
      <c r="D76" s="405" t="s">
        <v>706</v>
      </c>
      <c r="E76" s="128" t="s">
        <v>42</v>
      </c>
      <c r="F76" s="125" t="s">
        <v>43</v>
      </c>
      <c r="G76" s="34">
        <f t="shared" si="2"/>
        <v>8002</v>
      </c>
      <c r="H76" s="34">
        <v>8002</v>
      </c>
      <c r="I76" s="34"/>
      <c r="J76" s="34"/>
    </row>
    <row r="77" spans="1:10" ht="94.5">
      <c r="A77" s="426"/>
      <c r="B77" s="426"/>
      <c r="C77" s="426"/>
      <c r="D77" s="420"/>
      <c r="E77" s="128" t="s">
        <v>150</v>
      </c>
      <c r="F77" s="125" t="s">
        <v>41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.75">
      <c r="A78" s="119" t="s">
        <v>510</v>
      </c>
      <c r="B78" s="119" t="s">
        <v>511</v>
      </c>
      <c r="C78" s="119" t="s">
        <v>512</v>
      </c>
      <c r="D78" s="123" t="s">
        <v>707</v>
      </c>
      <c r="E78" s="128" t="s">
        <v>42</v>
      </c>
      <c r="F78" s="125" t="s">
        <v>43</v>
      </c>
      <c r="G78" s="34">
        <f t="shared" si="2"/>
        <v>350</v>
      </c>
      <c r="H78" s="34">
        <v>350</v>
      </c>
      <c r="I78" s="34"/>
      <c r="J78" s="34"/>
    </row>
    <row r="79" spans="1:10" ht="94.5">
      <c r="A79" s="119" t="s">
        <v>513</v>
      </c>
      <c r="B79" s="119" t="s">
        <v>514</v>
      </c>
      <c r="C79" s="119" t="s">
        <v>512</v>
      </c>
      <c r="D79" s="123" t="s">
        <v>515</v>
      </c>
      <c r="E79" s="128" t="s">
        <v>150</v>
      </c>
      <c r="F79" s="125" t="s">
        <v>41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.75">
      <c r="A80" s="119" t="s">
        <v>519</v>
      </c>
      <c r="B80" s="119" t="s">
        <v>520</v>
      </c>
      <c r="C80" s="119" t="s">
        <v>512</v>
      </c>
      <c r="D80" s="27" t="s">
        <v>521</v>
      </c>
      <c r="E80" s="128" t="s">
        <v>46</v>
      </c>
      <c r="F80" s="125" t="s">
        <v>47</v>
      </c>
      <c r="G80" s="34">
        <f t="shared" si="2"/>
        <v>255140</v>
      </c>
      <c r="H80" s="34">
        <v>255140</v>
      </c>
      <c r="I80" s="34"/>
      <c r="J80" s="34"/>
    </row>
    <row r="81" spans="1:10" ht="94.5">
      <c r="A81" s="146" t="s">
        <v>341</v>
      </c>
      <c r="B81" s="146" t="s">
        <v>342</v>
      </c>
      <c r="C81" s="146" t="s">
        <v>512</v>
      </c>
      <c r="D81" s="284" t="s">
        <v>343</v>
      </c>
      <c r="E81" s="128" t="s">
        <v>150</v>
      </c>
      <c r="F81" s="125" t="s">
        <v>41</v>
      </c>
      <c r="G81" s="34">
        <f t="shared" si="2"/>
        <v>340718</v>
      </c>
      <c r="H81" s="34"/>
      <c r="I81" s="34">
        <f>J81</f>
        <v>340718</v>
      </c>
      <c r="J81" s="34">
        <v>340718</v>
      </c>
    </row>
    <row r="82" spans="1:10" ht="107.25" customHeight="1">
      <c r="A82" s="119" t="s">
        <v>731</v>
      </c>
      <c r="B82" s="119" t="s">
        <v>732</v>
      </c>
      <c r="C82" s="119" t="s">
        <v>733</v>
      </c>
      <c r="D82" s="123" t="s">
        <v>734</v>
      </c>
      <c r="E82" s="129" t="s">
        <v>154</v>
      </c>
      <c r="F82" s="125" t="s">
        <v>48</v>
      </c>
      <c r="G82" s="34">
        <f t="shared" si="2"/>
        <v>2880</v>
      </c>
      <c r="H82" s="34">
        <v>2880</v>
      </c>
      <c r="I82" s="34"/>
      <c r="J82" s="34"/>
    </row>
    <row r="83" spans="1:10" ht="94.5">
      <c r="A83" s="406" t="s">
        <v>522</v>
      </c>
      <c r="B83" s="406" t="s">
        <v>523</v>
      </c>
      <c r="C83" s="406" t="s">
        <v>524</v>
      </c>
      <c r="D83" s="405" t="s">
        <v>525</v>
      </c>
      <c r="E83" s="128" t="s">
        <v>40</v>
      </c>
      <c r="F83" s="125" t="s">
        <v>41</v>
      </c>
      <c r="G83" s="34">
        <f t="shared" si="2"/>
        <v>28265</v>
      </c>
      <c r="H83" s="34">
        <f>23265-5000</f>
        <v>18265</v>
      </c>
      <c r="I83" s="34">
        <f>J83</f>
        <v>10000</v>
      </c>
      <c r="J83" s="34">
        <v>10000</v>
      </c>
    </row>
    <row r="84" spans="1:10" ht="78.75">
      <c r="A84" s="407"/>
      <c r="B84" s="407"/>
      <c r="C84" s="407"/>
      <c r="D84" s="405"/>
      <c r="E84" s="128" t="s">
        <v>42</v>
      </c>
      <c r="F84" s="125" t="s">
        <v>43</v>
      </c>
      <c r="G84" s="34">
        <f t="shared" si="2"/>
        <v>10047</v>
      </c>
      <c r="H84" s="34">
        <v>10047</v>
      </c>
      <c r="I84" s="34"/>
      <c r="J84" s="34"/>
    </row>
    <row r="85" spans="1:10" ht="103.5" customHeight="1">
      <c r="A85" s="119" t="s">
        <v>709</v>
      </c>
      <c r="B85" s="119" t="s">
        <v>710</v>
      </c>
      <c r="C85" s="119" t="s">
        <v>463</v>
      </c>
      <c r="D85" s="123" t="s">
        <v>711</v>
      </c>
      <c r="E85" s="128" t="s">
        <v>150</v>
      </c>
      <c r="F85" s="125" t="s">
        <v>41</v>
      </c>
      <c r="G85" s="34">
        <f>H85+I85</f>
        <v>6102717</v>
      </c>
      <c r="H85" s="34"/>
      <c r="I85" s="34">
        <f>J85</f>
        <v>6102717</v>
      </c>
      <c r="J85" s="34">
        <f>3545137+251261+46683+2049486+40989+3313+60000+56663+49185</f>
        <v>6102717</v>
      </c>
    </row>
    <row r="86" spans="1:10" ht="94.5" hidden="1">
      <c r="A86" s="119" t="s">
        <v>675</v>
      </c>
      <c r="B86" s="119" t="s">
        <v>676</v>
      </c>
      <c r="C86" s="119" t="s">
        <v>464</v>
      </c>
      <c r="D86" s="123" t="s">
        <v>677</v>
      </c>
      <c r="E86" s="124" t="s">
        <v>22</v>
      </c>
      <c r="F86" s="130" t="s">
        <v>23</v>
      </c>
      <c r="G86" s="34">
        <f>H86+I86</f>
        <v>0</v>
      </c>
      <c r="H86" s="34"/>
      <c r="I86" s="34">
        <f>J86</f>
        <v>0</v>
      </c>
      <c r="J86" s="34">
        <f>597771-597771</f>
        <v>0</v>
      </c>
    </row>
    <row r="87" spans="1:10" ht="48.75" customHeight="1">
      <c r="A87" s="117" t="s">
        <v>526</v>
      </c>
      <c r="B87" s="133"/>
      <c r="C87" s="122"/>
      <c r="D87" s="132" t="s">
        <v>527</v>
      </c>
      <c r="E87" s="128"/>
      <c r="F87" s="115"/>
      <c r="G87" s="36">
        <f>G88</f>
        <v>6008550</v>
      </c>
      <c r="H87" s="36">
        <f>H88</f>
        <v>5957090</v>
      </c>
      <c r="I87" s="36">
        <f>I88</f>
        <v>51460</v>
      </c>
      <c r="J87" s="36">
        <f>J88</f>
        <v>51460</v>
      </c>
    </row>
    <row r="88" spans="1:10" ht="50.25" customHeight="1">
      <c r="A88" s="117" t="s">
        <v>528</v>
      </c>
      <c r="B88" s="133"/>
      <c r="C88" s="122"/>
      <c r="D88" s="132" t="s">
        <v>527</v>
      </c>
      <c r="E88" s="128"/>
      <c r="F88" s="115"/>
      <c r="G88" s="36">
        <f>SUM(G89:G103)</f>
        <v>6008550</v>
      </c>
      <c r="H88" s="36">
        <f>SUM(H89:H103)</f>
        <v>5957090</v>
      </c>
      <c r="I88" s="36">
        <f>SUM(I89:I103)</f>
        <v>51460</v>
      </c>
      <c r="J88" s="36">
        <f>SUM(J89:J103)</f>
        <v>51460</v>
      </c>
    </row>
    <row r="89" spans="1:10" ht="55.5" customHeight="1">
      <c r="A89" s="119" t="s">
        <v>639</v>
      </c>
      <c r="B89" s="119" t="s">
        <v>640</v>
      </c>
      <c r="C89" s="119" t="s">
        <v>433</v>
      </c>
      <c r="D89" s="123" t="s">
        <v>641</v>
      </c>
      <c r="E89" s="422" t="s">
        <v>4</v>
      </c>
      <c r="F89" s="398" t="s">
        <v>5</v>
      </c>
      <c r="G89" s="34">
        <f>H89+I89</f>
        <v>22260</v>
      </c>
      <c r="H89" s="34">
        <v>22260</v>
      </c>
      <c r="I89" s="34"/>
      <c r="J89" s="34"/>
    </row>
    <row r="90" spans="1:10" ht="36.75" customHeight="1">
      <c r="A90" s="119" t="s">
        <v>642</v>
      </c>
      <c r="B90" s="119" t="s">
        <v>643</v>
      </c>
      <c r="C90" s="119" t="s">
        <v>644</v>
      </c>
      <c r="D90" s="123" t="s">
        <v>645</v>
      </c>
      <c r="E90" s="373"/>
      <c r="F90" s="358"/>
      <c r="G90" s="34">
        <f aca="true" t="shared" si="3" ref="G90:G103">H90+I90</f>
        <v>155360</v>
      </c>
      <c r="H90" s="34">
        <v>155360</v>
      </c>
      <c r="I90" s="34"/>
      <c r="J90" s="34"/>
    </row>
    <row r="91" spans="1:10" ht="52.5" customHeight="1">
      <c r="A91" s="119" t="s">
        <v>646</v>
      </c>
      <c r="B91" s="119" t="s">
        <v>647</v>
      </c>
      <c r="C91" s="119" t="s">
        <v>644</v>
      </c>
      <c r="D91" s="123" t="s">
        <v>648</v>
      </c>
      <c r="E91" s="373"/>
      <c r="F91" s="358"/>
      <c r="G91" s="34">
        <f t="shared" si="3"/>
        <v>2350000</v>
      </c>
      <c r="H91" s="34">
        <f>2800000-450000</f>
        <v>2350000</v>
      </c>
      <c r="I91" s="34"/>
      <c r="J91" s="34"/>
    </row>
    <row r="92" spans="1:10" ht="54" customHeight="1">
      <c r="A92" s="119" t="s">
        <v>649</v>
      </c>
      <c r="B92" s="119" t="s">
        <v>650</v>
      </c>
      <c r="C92" s="119" t="s">
        <v>644</v>
      </c>
      <c r="D92" s="123" t="s">
        <v>651</v>
      </c>
      <c r="E92" s="373"/>
      <c r="F92" s="358"/>
      <c r="G92" s="34">
        <f t="shared" si="3"/>
        <v>153000</v>
      </c>
      <c r="H92" s="34">
        <v>153000</v>
      </c>
      <c r="I92" s="34"/>
      <c r="J92" s="34"/>
    </row>
    <row r="93" spans="1:10" ht="72.75" customHeight="1">
      <c r="A93" s="119" t="s">
        <v>530</v>
      </c>
      <c r="B93" s="119" t="s">
        <v>531</v>
      </c>
      <c r="C93" s="119" t="s">
        <v>501</v>
      </c>
      <c r="D93" s="123" t="s">
        <v>532</v>
      </c>
      <c r="E93" s="374"/>
      <c r="F93" s="342"/>
      <c r="G93" s="34">
        <f t="shared" si="3"/>
        <v>99871</v>
      </c>
      <c r="H93" s="34">
        <f>49909+49962</f>
        <v>99871</v>
      </c>
      <c r="I93" s="34"/>
      <c r="J93" s="34"/>
    </row>
    <row r="94" spans="1:10" ht="72" customHeight="1">
      <c r="A94" s="119" t="s">
        <v>536</v>
      </c>
      <c r="B94" s="119" t="s">
        <v>537</v>
      </c>
      <c r="C94" s="119" t="s">
        <v>429</v>
      </c>
      <c r="D94" s="123" t="s">
        <v>538</v>
      </c>
      <c r="E94" s="419" t="s">
        <v>308</v>
      </c>
      <c r="F94" s="402" t="s">
        <v>139</v>
      </c>
      <c r="G94" s="34">
        <f t="shared" si="3"/>
        <v>637299</v>
      </c>
      <c r="H94" s="34">
        <f>605597+15045+16657</f>
        <v>637299</v>
      </c>
      <c r="I94" s="34"/>
      <c r="J94" s="34"/>
    </row>
    <row r="95" spans="1:10" ht="24" customHeight="1">
      <c r="A95" s="119" t="s">
        <v>539</v>
      </c>
      <c r="B95" s="119" t="s">
        <v>540</v>
      </c>
      <c r="C95" s="119" t="s">
        <v>429</v>
      </c>
      <c r="D95" s="120" t="s">
        <v>49</v>
      </c>
      <c r="E95" s="420"/>
      <c r="F95" s="351"/>
      <c r="G95" s="34">
        <f t="shared" si="3"/>
        <v>5000</v>
      </c>
      <c r="H95" s="34">
        <v>5000</v>
      </c>
      <c r="I95" s="34"/>
      <c r="J95" s="34"/>
    </row>
    <row r="96" spans="1:10" ht="70.5" customHeight="1">
      <c r="A96" s="119" t="s">
        <v>652</v>
      </c>
      <c r="B96" s="119" t="s">
        <v>653</v>
      </c>
      <c r="C96" s="119" t="s">
        <v>497</v>
      </c>
      <c r="D96" s="120" t="s">
        <v>50</v>
      </c>
      <c r="E96" s="421" t="s">
        <v>4</v>
      </c>
      <c r="F96" s="418" t="s">
        <v>5</v>
      </c>
      <c r="G96" s="34">
        <f t="shared" si="3"/>
        <v>606834</v>
      </c>
      <c r="H96" s="34">
        <v>606834</v>
      </c>
      <c r="I96" s="34"/>
      <c r="J96" s="34"/>
    </row>
    <row r="97" spans="1:10" ht="69.75" customHeight="1">
      <c r="A97" s="119" t="s">
        <v>655</v>
      </c>
      <c r="B97" s="119" t="s">
        <v>656</v>
      </c>
      <c r="C97" s="119" t="s">
        <v>657</v>
      </c>
      <c r="D97" s="123" t="s">
        <v>51</v>
      </c>
      <c r="E97" s="412"/>
      <c r="F97" s="351"/>
      <c r="G97" s="34">
        <f t="shared" si="3"/>
        <v>310166</v>
      </c>
      <c r="H97" s="34">
        <v>310166</v>
      </c>
      <c r="I97" s="34"/>
      <c r="J97" s="34"/>
    </row>
    <row r="98" spans="1:10" ht="31.5">
      <c r="A98" s="119" t="s">
        <v>659</v>
      </c>
      <c r="B98" s="119" t="s">
        <v>432</v>
      </c>
      <c r="C98" s="119" t="s">
        <v>433</v>
      </c>
      <c r="D98" s="123" t="s">
        <v>434</v>
      </c>
      <c r="E98" s="412"/>
      <c r="F98" s="351"/>
      <c r="G98" s="34">
        <f t="shared" si="3"/>
        <v>303324</v>
      </c>
      <c r="H98" s="34">
        <f>253324+50000</f>
        <v>303324</v>
      </c>
      <c r="I98" s="34"/>
      <c r="J98" s="34"/>
    </row>
    <row r="99" spans="1:10" ht="56.25" customHeight="1">
      <c r="A99" s="119" t="s">
        <v>660</v>
      </c>
      <c r="B99" s="119" t="s">
        <v>661</v>
      </c>
      <c r="C99" s="119" t="s">
        <v>433</v>
      </c>
      <c r="D99" s="123" t="s">
        <v>52</v>
      </c>
      <c r="E99" s="412"/>
      <c r="F99" s="351"/>
      <c r="G99" s="34">
        <f t="shared" si="3"/>
        <v>477378</v>
      </c>
      <c r="H99" s="34">
        <f>300000+100000+13958+63420</f>
        <v>477378</v>
      </c>
      <c r="I99" s="34"/>
      <c r="J99" s="34"/>
    </row>
    <row r="100" spans="1:10" ht="87.75" customHeight="1">
      <c r="A100" s="119" t="s">
        <v>755</v>
      </c>
      <c r="B100" s="119" t="s">
        <v>732</v>
      </c>
      <c r="C100" s="119" t="s">
        <v>733</v>
      </c>
      <c r="D100" s="123" t="s">
        <v>734</v>
      </c>
      <c r="E100" s="129" t="s">
        <v>154</v>
      </c>
      <c r="F100" s="125" t="s">
        <v>48</v>
      </c>
      <c r="G100" s="34">
        <f t="shared" si="3"/>
        <v>11520</v>
      </c>
      <c r="H100" s="34">
        <v>11520</v>
      </c>
      <c r="I100" s="34"/>
      <c r="J100" s="34"/>
    </row>
    <row r="101" spans="1:10" ht="48" customHeight="1">
      <c r="A101" s="119" t="s">
        <v>663</v>
      </c>
      <c r="B101" s="119" t="s">
        <v>436</v>
      </c>
      <c r="C101" s="122" t="s">
        <v>437</v>
      </c>
      <c r="D101" s="134" t="s">
        <v>53</v>
      </c>
      <c r="E101" s="420" t="s">
        <v>4</v>
      </c>
      <c r="F101" s="402" t="s">
        <v>5</v>
      </c>
      <c r="G101" s="34">
        <f t="shared" si="3"/>
        <v>789380</v>
      </c>
      <c r="H101" s="34">
        <v>789380</v>
      </c>
      <c r="I101" s="34"/>
      <c r="J101" s="34"/>
    </row>
    <row r="102" spans="1:10" ht="57.75" customHeight="1">
      <c r="A102" s="119" t="s">
        <v>754</v>
      </c>
      <c r="B102" s="119" t="s">
        <v>621</v>
      </c>
      <c r="C102" s="119" t="s">
        <v>463</v>
      </c>
      <c r="D102" s="123" t="s">
        <v>703</v>
      </c>
      <c r="E102" s="412"/>
      <c r="F102" s="351"/>
      <c r="G102" s="34">
        <f>H102+I102</f>
        <v>51460</v>
      </c>
      <c r="H102" s="34"/>
      <c r="I102" s="34">
        <f>J102</f>
        <v>51460</v>
      </c>
      <c r="J102" s="34">
        <v>51460</v>
      </c>
    </row>
    <row r="103" spans="1:10" ht="94.5">
      <c r="A103" s="119" t="s">
        <v>664</v>
      </c>
      <c r="B103" s="119" t="s">
        <v>473</v>
      </c>
      <c r="C103" s="119" t="s">
        <v>464</v>
      </c>
      <c r="D103" s="123" t="s">
        <v>474</v>
      </c>
      <c r="E103" s="128" t="s">
        <v>54</v>
      </c>
      <c r="F103" s="130" t="s">
        <v>55</v>
      </c>
      <c r="G103" s="34">
        <f t="shared" si="3"/>
        <v>35698</v>
      </c>
      <c r="H103" s="34">
        <v>35698</v>
      </c>
      <c r="I103" s="34"/>
      <c r="J103" s="34"/>
    </row>
    <row r="104" spans="1:10" ht="42.75" customHeight="1">
      <c r="A104" s="117" t="s">
        <v>542</v>
      </c>
      <c r="B104" s="133"/>
      <c r="C104" s="122"/>
      <c r="D104" s="135" t="s">
        <v>56</v>
      </c>
      <c r="E104" s="123"/>
      <c r="F104" s="115"/>
      <c r="G104" s="36">
        <f>G105</f>
        <v>4534441</v>
      </c>
      <c r="H104" s="36">
        <f>H105</f>
        <v>1507224</v>
      </c>
      <c r="I104" s="36">
        <f>I105</f>
        <v>3027217</v>
      </c>
      <c r="J104" s="36">
        <f>J105</f>
        <v>3027217</v>
      </c>
    </row>
    <row r="105" spans="1:10" ht="43.5" customHeight="1">
      <c r="A105" s="117" t="s">
        <v>544</v>
      </c>
      <c r="B105" s="133"/>
      <c r="C105" s="122"/>
      <c r="D105" s="135" t="s">
        <v>56</v>
      </c>
      <c r="E105" s="123"/>
      <c r="F105" s="115"/>
      <c r="G105" s="36">
        <f aca="true" t="shared" si="4" ref="G105:G112">H105+I105</f>
        <v>4534441</v>
      </c>
      <c r="H105" s="36">
        <f>SUM(H106:H113)</f>
        <v>1507224</v>
      </c>
      <c r="I105" s="36">
        <f>SUM(I106:I113)</f>
        <v>3027217</v>
      </c>
      <c r="J105" s="36">
        <f>SUM(J106:J113)</f>
        <v>3027217</v>
      </c>
    </row>
    <row r="106" spans="1:10" ht="21" customHeight="1">
      <c r="A106" s="119" t="s">
        <v>548</v>
      </c>
      <c r="B106" s="119" t="s">
        <v>549</v>
      </c>
      <c r="C106" s="119" t="s">
        <v>550</v>
      </c>
      <c r="D106" s="123" t="s">
        <v>551</v>
      </c>
      <c r="E106" s="395" t="s">
        <v>57</v>
      </c>
      <c r="F106" s="398" t="s">
        <v>58</v>
      </c>
      <c r="G106" s="34">
        <f t="shared" si="4"/>
        <v>50419</v>
      </c>
      <c r="H106" s="34">
        <f>50419-40000</f>
        <v>10419</v>
      </c>
      <c r="I106" s="34">
        <f>J106</f>
        <v>40000</v>
      </c>
      <c r="J106" s="34">
        <v>40000</v>
      </c>
    </row>
    <row r="107" spans="1:10" ht="21" customHeight="1">
      <c r="A107" s="119" t="s">
        <v>552</v>
      </c>
      <c r="B107" s="119" t="s">
        <v>553</v>
      </c>
      <c r="C107" s="119" t="s">
        <v>550</v>
      </c>
      <c r="D107" s="123" t="s">
        <v>554</v>
      </c>
      <c r="E107" s="396"/>
      <c r="F107" s="358"/>
      <c r="G107" s="34">
        <f t="shared" si="4"/>
        <v>71659</v>
      </c>
      <c r="H107" s="34">
        <f>22561+22739+26359</f>
        <v>71659</v>
      </c>
      <c r="I107" s="34"/>
      <c r="J107" s="34"/>
    </row>
    <row r="108" spans="1:10" ht="60.75" customHeight="1">
      <c r="A108" s="119" t="s">
        <v>555</v>
      </c>
      <c r="B108" s="119" t="s">
        <v>556</v>
      </c>
      <c r="C108" s="119" t="s">
        <v>557</v>
      </c>
      <c r="D108" s="120" t="s">
        <v>558</v>
      </c>
      <c r="E108" s="397"/>
      <c r="F108" s="342"/>
      <c r="G108" s="34">
        <f t="shared" si="4"/>
        <v>941700</v>
      </c>
      <c r="H108" s="34">
        <f>19422+46596</f>
        <v>66018</v>
      </c>
      <c r="I108" s="34">
        <f>J108</f>
        <v>875682</v>
      </c>
      <c r="J108" s="34">
        <f>845082+30600</f>
        <v>875682</v>
      </c>
    </row>
    <row r="109" spans="1:10" ht="94.5">
      <c r="A109" s="406" t="s">
        <v>563</v>
      </c>
      <c r="B109" s="407">
        <v>4082</v>
      </c>
      <c r="C109" s="403" t="s">
        <v>561</v>
      </c>
      <c r="D109" s="423" t="s">
        <v>565</v>
      </c>
      <c r="E109" s="120" t="s">
        <v>57</v>
      </c>
      <c r="F109" s="125" t="s">
        <v>58</v>
      </c>
      <c r="G109" s="34">
        <f t="shared" si="4"/>
        <v>1080950</v>
      </c>
      <c r="H109" s="34">
        <f>1105850-12078-12822</f>
        <v>1080950</v>
      </c>
      <c r="I109" s="34"/>
      <c r="J109" s="34"/>
    </row>
    <row r="110" spans="1:10" ht="114.75" customHeight="1">
      <c r="A110" s="406"/>
      <c r="B110" s="407"/>
      <c r="C110" s="418"/>
      <c r="D110" s="423"/>
      <c r="E110" s="120" t="s">
        <v>30</v>
      </c>
      <c r="F110" s="125" t="s">
        <v>136</v>
      </c>
      <c r="G110" s="34">
        <f t="shared" si="4"/>
        <v>118178</v>
      </c>
      <c r="H110" s="34">
        <f>145000+47245-49869-24198</f>
        <v>118178</v>
      </c>
      <c r="I110" s="34"/>
      <c r="J110" s="34"/>
    </row>
    <row r="111" spans="1:10" ht="42" customHeight="1">
      <c r="A111" s="119" t="s">
        <v>735</v>
      </c>
      <c r="B111" s="119" t="s">
        <v>736</v>
      </c>
      <c r="C111" s="119" t="s">
        <v>463</v>
      </c>
      <c r="D111" s="123" t="s">
        <v>737</v>
      </c>
      <c r="E111" s="395" t="s">
        <v>57</v>
      </c>
      <c r="F111" s="398" t="s">
        <v>58</v>
      </c>
      <c r="G111" s="34">
        <f t="shared" si="4"/>
        <v>1911535</v>
      </c>
      <c r="H111" s="34"/>
      <c r="I111" s="34">
        <f>J111</f>
        <v>1911535</v>
      </c>
      <c r="J111" s="34">
        <f>297892+600000+1013643</f>
        <v>1911535</v>
      </c>
    </row>
    <row r="112" spans="1:10" ht="57" customHeight="1">
      <c r="A112" s="119" t="s">
        <v>738</v>
      </c>
      <c r="B112" s="119" t="s">
        <v>739</v>
      </c>
      <c r="C112" s="119" t="s">
        <v>463</v>
      </c>
      <c r="D112" s="123" t="s">
        <v>740</v>
      </c>
      <c r="E112" s="396"/>
      <c r="F112" s="358"/>
      <c r="G112" s="34">
        <f t="shared" si="4"/>
        <v>200000</v>
      </c>
      <c r="H112" s="34"/>
      <c r="I112" s="34">
        <f>J112</f>
        <v>200000</v>
      </c>
      <c r="J112" s="34">
        <f>200000</f>
        <v>200000</v>
      </c>
    </row>
    <row r="113" spans="1:10" ht="46.5" customHeight="1">
      <c r="A113" s="119" t="s">
        <v>566</v>
      </c>
      <c r="B113" s="126">
        <v>7622</v>
      </c>
      <c r="C113" s="122" t="s">
        <v>568</v>
      </c>
      <c r="D113" s="134" t="s">
        <v>59</v>
      </c>
      <c r="E113" s="397"/>
      <c r="F113" s="342"/>
      <c r="G113" s="34">
        <f>H113</f>
        <v>160000</v>
      </c>
      <c r="H113" s="34">
        <f>80000+80000</f>
        <v>160000</v>
      </c>
      <c r="I113" s="34"/>
      <c r="J113" s="34"/>
    </row>
    <row r="114" spans="1:10" ht="41.25" customHeight="1">
      <c r="A114" s="117" t="s">
        <v>570</v>
      </c>
      <c r="B114" s="133"/>
      <c r="C114" s="122"/>
      <c r="D114" s="132" t="s">
        <v>571</v>
      </c>
      <c r="E114" s="128"/>
      <c r="F114" s="130"/>
      <c r="G114" s="36">
        <f>G115</f>
        <v>7869844</v>
      </c>
      <c r="H114" s="36">
        <f>H115</f>
        <v>6351542</v>
      </c>
      <c r="I114" s="36">
        <f>I115</f>
        <v>1518302</v>
      </c>
      <c r="J114" s="36">
        <f>J115</f>
        <v>1518302</v>
      </c>
    </row>
    <row r="115" spans="1:10" ht="40.5" customHeight="1">
      <c r="A115" s="117" t="s">
        <v>572</v>
      </c>
      <c r="B115" s="133"/>
      <c r="C115" s="122"/>
      <c r="D115" s="132" t="s">
        <v>571</v>
      </c>
      <c r="E115" s="128"/>
      <c r="F115" s="130"/>
      <c r="G115" s="36">
        <f>SUM(G116:G126)</f>
        <v>7869844</v>
      </c>
      <c r="H115" s="36">
        <f>SUM(H116:H126)</f>
        <v>6351542</v>
      </c>
      <c r="I115" s="36">
        <f>SUM(I116:I126)</f>
        <v>1518302</v>
      </c>
      <c r="J115" s="36">
        <f>SUM(J116:J126)</f>
        <v>1518302</v>
      </c>
    </row>
    <row r="116" spans="1:10" ht="84.75" customHeight="1">
      <c r="A116" s="119" t="s">
        <v>574</v>
      </c>
      <c r="B116" s="119" t="s">
        <v>575</v>
      </c>
      <c r="C116" s="122" t="s">
        <v>429</v>
      </c>
      <c r="D116" s="120" t="s">
        <v>576</v>
      </c>
      <c r="E116" s="27" t="s">
        <v>60</v>
      </c>
      <c r="F116" s="125" t="s">
        <v>61</v>
      </c>
      <c r="G116" s="34">
        <f>H116+I116</f>
        <v>100700</v>
      </c>
      <c r="H116" s="34">
        <f>70700+30000</f>
        <v>100700</v>
      </c>
      <c r="I116" s="34"/>
      <c r="J116" s="34"/>
    </row>
    <row r="117" spans="1:10" ht="78.75" hidden="1">
      <c r="A117" s="119" t="s">
        <v>577</v>
      </c>
      <c r="B117" s="119" t="s">
        <v>578</v>
      </c>
      <c r="C117" s="122" t="s">
        <v>429</v>
      </c>
      <c r="D117" s="120" t="s">
        <v>62</v>
      </c>
      <c r="E117" s="120" t="s">
        <v>44</v>
      </c>
      <c r="F117" s="125" t="s">
        <v>45</v>
      </c>
      <c r="G117" s="34">
        <f aca="true" t="shared" si="5" ref="G117:G126">H117+I117</f>
        <v>0</v>
      </c>
      <c r="H117" s="34">
        <f>361200-361200</f>
        <v>0</v>
      </c>
      <c r="I117" s="34"/>
      <c r="J117" s="34"/>
    </row>
    <row r="118" spans="1:10" ht="90" customHeight="1">
      <c r="A118" s="119" t="s">
        <v>756</v>
      </c>
      <c r="B118" s="119" t="s">
        <v>732</v>
      </c>
      <c r="C118" s="119" t="s">
        <v>733</v>
      </c>
      <c r="D118" s="123" t="s">
        <v>734</v>
      </c>
      <c r="E118" s="129" t="s">
        <v>154</v>
      </c>
      <c r="F118" s="125" t="s">
        <v>48</v>
      </c>
      <c r="G118" s="34">
        <f>H118+I118</f>
        <v>11520</v>
      </c>
      <c r="H118" s="34">
        <v>11520</v>
      </c>
      <c r="I118" s="34"/>
      <c r="J118" s="34"/>
    </row>
    <row r="119" spans="1:10" ht="117" customHeight="1">
      <c r="A119" s="424">
        <v>1115011</v>
      </c>
      <c r="B119" s="424">
        <v>5011</v>
      </c>
      <c r="C119" s="403" t="s">
        <v>524</v>
      </c>
      <c r="D119" s="415" t="s">
        <v>63</v>
      </c>
      <c r="E119" s="27" t="s">
        <v>64</v>
      </c>
      <c r="F119" s="125" t="s">
        <v>65</v>
      </c>
      <c r="G119" s="34">
        <f t="shared" si="5"/>
        <v>244076</v>
      </c>
      <c r="H119" s="34">
        <f>303040-51659-2780-4525</f>
        <v>244076</v>
      </c>
      <c r="I119" s="34"/>
      <c r="J119" s="34"/>
    </row>
    <row r="120" spans="1:10" ht="96.75" customHeight="1">
      <c r="A120" s="424"/>
      <c r="B120" s="424"/>
      <c r="C120" s="403"/>
      <c r="D120" s="415"/>
      <c r="E120" s="120" t="s">
        <v>30</v>
      </c>
      <c r="F120" s="125" t="s">
        <v>136</v>
      </c>
      <c r="G120" s="34">
        <f t="shared" si="5"/>
        <v>69609</v>
      </c>
      <c r="H120" s="34">
        <f>136960-25200-42151</f>
        <v>69609</v>
      </c>
      <c r="I120" s="34"/>
      <c r="J120" s="34"/>
    </row>
    <row r="121" spans="1:10" ht="105.75" customHeight="1">
      <c r="A121" s="127">
        <v>1115041</v>
      </c>
      <c r="B121" s="127">
        <v>5041</v>
      </c>
      <c r="C121" s="122" t="s">
        <v>524</v>
      </c>
      <c r="D121" s="120" t="s">
        <v>586</v>
      </c>
      <c r="E121" s="27" t="s">
        <v>64</v>
      </c>
      <c r="F121" s="125" t="s">
        <v>65</v>
      </c>
      <c r="G121" s="34">
        <f t="shared" si="5"/>
        <v>4271362</v>
      </c>
      <c r="H121" s="34">
        <f>3651500+85835+199300+73876+12981+49950+183600+14320</f>
        <v>4271362</v>
      </c>
      <c r="I121" s="34"/>
      <c r="J121" s="34"/>
    </row>
    <row r="122" spans="1:10" ht="121.5" customHeight="1">
      <c r="A122" s="424">
        <v>1115062</v>
      </c>
      <c r="B122" s="424">
        <v>5062</v>
      </c>
      <c r="C122" s="403" t="s">
        <v>524</v>
      </c>
      <c r="D122" s="415" t="s">
        <v>66</v>
      </c>
      <c r="E122" s="27" t="s">
        <v>64</v>
      </c>
      <c r="F122" s="125" t="s">
        <v>65</v>
      </c>
      <c r="G122" s="34">
        <f t="shared" si="5"/>
        <v>345640</v>
      </c>
      <c r="H122" s="34">
        <f>100000+245640</f>
        <v>345640</v>
      </c>
      <c r="I122" s="34"/>
      <c r="J122" s="34"/>
    </row>
    <row r="123" spans="1:10" ht="78.75">
      <c r="A123" s="424"/>
      <c r="B123" s="424"/>
      <c r="C123" s="403"/>
      <c r="D123" s="425"/>
      <c r="E123" s="128" t="s">
        <v>67</v>
      </c>
      <c r="F123" s="125" t="s">
        <v>68</v>
      </c>
      <c r="G123" s="34">
        <f t="shared" si="5"/>
        <v>1304110</v>
      </c>
      <c r="H123" s="34">
        <f>1284560+19550</f>
        <v>1304110</v>
      </c>
      <c r="I123" s="34"/>
      <c r="J123" s="34"/>
    </row>
    <row r="124" spans="1:10" ht="94.5">
      <c r="A124" s="119" t="s">
        <v>712</v>
      </c>
      <c r="B124" s="119" t="s">
        <v>713</v>
      </c>
      <c r="C124" s="119" t="s">
        <v>463</v>
      </c>
      <c r="D124" s="131" t="s">
        <v>714</v>
      </c>
      <c r="E124" s="27" t="s">
        <v>64</v>
      </c>
      <c r="F124" s="125" t="s">
        <v>65</v>
      </c>
      <c r="G124" s="34">
        <f>H124+I124</f>
        <v>625504</v>
      </c>
      <c r="H124" s="34"/>
      <c r="I124" s="34">
        <f>J124</f>
        <v>625504</v>
      </c>
      <c r="J124" s="34">
        <f>575498+50006</f>
        <v>625504</v>
      </c>
    </row>
    <row r="125" spans="1:10" ht="99" customHeight="1">
      <c r="A125" s="119" t="s">
        <v>704</v>
      </c>
      <c r="B125" s="119" t="s">
        <v>676</v>
      </c>
      <c r="C125" s="119" t="s">
        <v>464</v>
      </c>
      <c r="D125" s="123" t="s">
        <v>677</v>
      </c>
      <c r="E125" s="27" t="s">
        <v>64</v>
      </c>
      <c r="F125" s="125" t="s">
        <v>65</v>
      </c>
      <c r="G125" s="34">
        <f>H125+I125</f>
        <v>892798</v>
      </c>
      <c r="H125" s="34"/>
      <c r="I125" s="34">
        <f>J125</f>
        <v>892798</v>
      </c>
      <c r="J125" s="34">
        <f>174734+738383-20319</f>
        <v>892798</v>
      </c>
    </row>
    <row r="126" spans="1:10" ht="101.25" customHeight="1">
      <c r="A126" s="127">
        <v>1117693</v>
      </c>
      <c r="B126" s="127">
        <v>7693</v>
      </c>
      <c r="C126" s="122" t="s">
        <v>464</v>
      </c>
      <c r="D126" s="123" t="s">
        <v>474</v>
      </c>
      <c r="E126" s="27" t="s">
        <v>64</v>
      </c>
      <c r="F126" s="125" t="s">
        <v>65</v>
      </c>
      <c r="G126" s="34">
        <f t="shared" si="5"/>
        <v>4525</v>
      </c>
      <c r="H126" s="34">
        <v>4525</v>
      </c>
      <c r="I126" s="34"/>
      <c r="J126" s="34"/>
    </row>
    <row r="127" spans="1:10" ht="36.75" customHeight="1">
      <c r="A127" s="136" t="s">
        <v>594</v>
      </c>
      <c r="B127" s="122"/>
      <c r="C127" s="122"/>
      <c r="D127" s="132" t="s">
        <v>69</v>
      </c>
      <c r="E127" s="120"/>
      <c r="F127" s="115"/>
      <c r="G127" s="36">
        <f>G128</f>
        <v>325258</v>
      </c>
      <c r="H127" s="36">
        <f>H128</f>
        <v>302398</v>
      </c>
      <c r="I127" s="36">
        <f>I128</f>
        <v>22860</v>
      </c>
      <c r="J127" s="36">
        <f>J128</f>
        <v>22860</v>
      </c>
    </row>
    <row r="128" spans="1:10" ht="49.5" customHeight="1">
      <c r="A128" s="136" t="s">
        <v>596</v>
      </c>
      <c r="B128" s="122"/>
      <c r="C128" s="122"/>
      <c r="D128" s="132" t="s">
        <v>69</v>
      </c>
      <c r="E128" s="120"/>
      <c r="F128" s="115"/>
      <c r="G128" s="36">
        <f>SUM(G129:G131)</f>
        <v>325258</v>
      </c>
      <c r="H128" s="36">
        <f>SUM(H129:H131)</f>
        <v>302398</v>
      </c>
      <c r="I128" s="36">
        <f>SUM(I129:I131)</f>
        <v>22860</v>
      </c>
      <c r="J128" s="36">
        <f>SUM(J129:J131)</f>
        <v>22860</v>
      </c>
    </row>
    <row r="129" spans="1:10" ht="106.5" customHeight="1">
      <c r="A129" s="119" t="s">
        <v>758</v>
      </c>
      <c r="B129" s="119" t="s">
        <v>713</v>
      </c>
      <c r="C129" s="119" t="s">
        <v>463</v>
      </c>
      <c r="D129" s="123" t="s">
        <v>714</v>
      </c>
      <c r="E129" s="124" t="s">
        <v>22</v>
      </c>
      <c r="F129" s="130" t="s">
        <v>140</v>
      </c>
      <c r="G129" s="34">
        <f>H129+I129</f>
        <v>22860</v>
      </c>
      <c r="H129" s="34"/>
      <c r="I129" s="34">
        <f>J129</f>
        <v>22860</v>
      </c>
      <c r="J129" s="34">
        <v>22860</v>
      </c>
    </row>
    <row r="130" spans="1:10" ht="110.25" customHeight="1" hidden="1">
      <c r="A130" s="119" t="s">
        <v>757</v>
      </c>
      <c r="B130" s="119" t="s">
        <v>676</v>
      </c>
      <c r="C130" s="119" t="s">
        <v>464</v>
      </c>
      <c r="D130" s="123" t="s">
        <v>677</v>
      </c>
      <c r="E130" s="124" t="s">
        <v>22</v>
      </c>
      <c r="F130" s="130" t="s">
        <v>140</v>
      </c>
      <c r="G130" s="34">
        <f>H130+I130</f>
        <v>0</v>
      </c>
      <c r="H130" s="34"/>
      <c r="I130" s="34">
        <f>J130</f>
        <v>0</v>
      </c>
      <c r="J130" s="34">
        <f>6666667-2000000-1000000-1445833-65146-2155688</f>
        <v>0</v>
      </c>
    </row>
    <row r="131" spans="1:10" ht="96" customHeight="1">
      <c r="A131" s="122" t="s">
        <v>598</v>
      </c>
      <c r="B131" s="119">
        <v>7693</v>
      </c>
      <c r="C131" s="122" t="s">
        <v>464</v>
      </c>
      <c r="D131" s="123" t="s">
        <v>474</v>
      </c>
      <c r="E131" s="120" t="s">
        <v>70</v>
      </c>
      <c r="F131" s="125" t="s">
        <v>71</v>
      </c>
      <c r="G131" s="34">
        <f>H131+I131</f>
        <v>302398</v>
      </c>
      <c r="H131" s="34">
        <v>302398</v>
      </c>
      <c r="I131" s="34"/>
      <c r="J131" s="34"/>
    </row>
    <row r="132" spans="1:10" ht="77.25" customHeight="1">
      <c r="A132" s="117" t="s">
        <v>604</v>
      </c>
      <c r="B132" s="117"/>
      <c r="C132" s="117"/>
      <c r="D132" s="137" t="s">
        <v>605</v>
      </c>
      <c r="E132" s="120"/>
      <c r="F132" s="125"/>
      <c r="G132" s="36">
        <f>G133</f>
        <v>2480178</v>
      </c>
      <c r="H132" s="36">
        <f>H133</f>
        <v>1328468</v>
      </c>
      <c r="I132" s="36">
        <f>I133</f>
        <v>1151710</v>
      </c>
      <c r="J132" s="36">
        <f>J133</f>
        <v>1151710</v>
      </c>
    </row>
    <row r="133" spans="1:10" ht="62.25" customHeight="1">
      <c r="A133" s="117" t="s">
        <v>606</v>
      </c>
      <c r="B133" s="117"/>
      <c r="C133" s="117"/>
      <c r="D133" s="137" t="s">
        <v>605</v>
      </c>
      <c r="E133" s="120"/>
      <c r="F133" s="125"/>
      <c r="G133" s="36">
        <f>SUM(G134:G137)</f>
        <v>2480178</v>
      </c>
      <c r="H133" s="36">
        <f>SUM(H134:H137)</f>
        <v>1328468</v>
      </c>
      <c r="I133" s="36">
        <f>SUM(I134:I137)</f>
        <v>1151710</v>
      </c>
      <c r="J133" s="36">
        <f>SUM(J134:J137)</f>
        <v>1151710</v>
      </c>
    </row>
    <row r="134" spans="1:10" ht="93.75" customHeight="1">
      <c r="A134" s="406" t="s">
        <v>608</v>
      </c>
      <c r="B134" s="406" t="s">
        <v>473</v>
      </c>
      <c r="C134" s="406" t="s">
        <v>464</v>
      </c>
      <c r="D134" s="405" t="s">
        <v>72</v>
      </c>
      <c r="E134" s="123" t="s">
        <v>73</v>
      </c>
      <c r="F134" s="125" t="s">
        <v>74</v>
      </c>
      <c r="G134" s="34">
        <f>H134+I134</f>
        <v>385512</v>
      </c>
      <c r="H134" s="34">
        <v>385512</v>
      </c>
      <c r="I134" s="34"/>
      <c r="J134" s="34"/>
    </row>
    <row r="135" spans="1:10" ht="96.75" customHeight="1">
      <c r="A135" s="411"/>
      <c r="B135" s="411"/>
      <c r="C135" s="411"/>
      <c r="D135" s="412"/>
      <c r="E135" s="120" t="s">
        <v>771</v>
      </c>
      <c r="F135" s="115" t="s">
        <v>141</v>
      </c>
      <c r="G135" s="34">
        <f>H135+I135</f>
        <v>39000</v>
      </c>
      <c r="H135" s="34"/>
      <c r="I135" s="34">
        <f>J135</f>
        <v>39000</v>
      </c>
      <c r="J135" s="34">
        <f>39000</f>
        <v>39000</v>
      </c>
    </row>
    <row r="136" spans="1:10" ht="112.5" customHeight="1">
      <c r="A136" s="146" t="s">
        <v>78</v>
      </c>
      <c r="B136" s="146" t="s">
        <v>79</v>
      </c>
      <c r="C136" s="146" t="s">
        <v>80</v>
      </c>
      <c r="D136" s="147" t="s">
        <v>81</v>
      </c>
      <c r="E136" s="120" t="s">
        <v>771</v>
      </c>
      <c r="F136" s="115" t="s">
        <v>142</v>
      </c>
      <c r="G136" s="34">
        <f>H136+I136</f>
        <v>1369746</v>
      </c>
      <c r="H136" s="34">
        <f>58915+37290+44542+18345+65636+60553</f>
        <v>285281</v>
      </c>
      <c r="I136" s="34">
        <f>J136</f>
        <v>1084465</v>
      </c>
      <c r="J136" s="34">
        <f>15300+69165+1000000</f>
        <v>1084465</v>
      </c>
    </row>
    <row r="137" spans="1:10" ht="102.75" customHeight="1">
      <c r="A137" s="119" t="s">
        <v>610</v>
      </c>
      <c r="B137" s="119" t="s">
        <v>611</v>
      </c>
      <c r="C137" s="119" t="s">
        <v>477</v>
      </c>
      <c r="D137" s="123" t="s">
        <v>612</v>
      </c>
      <c r="E137" s="123" t="s">
        <v>73</v>
      </c>
      <c r="F137" s="125" t="s">
        <v>74</v>
      </c>
      <c r="G137" s="34">
        <f>H137+I137</f>
        <v>685920</v>
      </c>
      <c r="H137" s="34">
        <f>200000-18846+20000+100000-9399+200000+165920</f>
        <v>657675</v>
      </c>
      <c r="I137" s="34">
        <f>J137</f>
        <v>28245</v>
      </c>
      <c r="J137" s="34">
        <f>18846+9399</f>
        <v>28245</v>
      </c>
    </row>
    <row r="138" spans="1:10" ht="69.75" customHeight="1">
      <c r="A138" s="117" t="s">
        <v>613</v>
      </c>
      <c r="B138" s="117"/>
      <c r="C138" s="117"/>
      <c r="D138" s="118" t="s">
        <v>614</v>
      </c>
      <c r="E138" s="120"/>
      <c r="F138" s="115"/>
      <c r="G138" s="36">
        <f>G139</f>
        <v>10481749</v>
      </c>
      <c r="H138" s="36">
        <f>H139</f>
        <v>5369028</v>
      </c>
      <c r="I138" s="36">
        <f>I139</f>
        <v>5112721</v>
      </c>
      <c r="J138" s="36">
        <f>J139</f>
        <v>5112721</v>
      </c>
    </row>
    <row r="139" spans="1:10" ht="80.25" customHeight="1">
      <c r="A139" s="117" t="s">
        <v>615</v>
      </c>
      <c r="B139" s="117"/>
      <c r="C139" s="117"/>
      <c r="D139" s="118" t="s">
        <v>614</v>
      </c>
      <c r="E139" s="120"/>
      <c r="F139" s="115"/>
      <c r="G139" s="36">
        <f>H139+I139</f>
        <v>10481749</v>
      </c>
      <c r="H139" s="36">
        <f>SUM(H140:H150)</f>
        <v>5369028</v>
      </c>
      <c r="I139" s="36">
        <f>SUM(I140:I150)</f>
        <v>5112721</v>
      </c>
      <c r="J139" s="36">
        <f>SUM(J140:J150)</f>
        <v>5112721</v>
      </c>
    </row>
    <row r="140" spans="1:10" ht="113.25" customHeight="1">
      <c r="A140" s="119" t="s">
        <v>759</v>
      </c>
      <c r="B140" s="119" t="s">
        <v>732</v>
      </c>
      <c r="C140" s="119" t="s">
        <v>733</v>
      </c>
      <c r="D140" s="123" t="s">
        <v>734</v>
      </c>
      <c r="E140" s="129" t="s">
        <v>154</v>
      </c>
      <c r="F140" s="125" t="s">
        <v>48</v>
      </c>
      <c r="G140" s="34">
        <f>H140</f>
        <v>37292</v>
      </c>
      <c r="H140" s="34">
        <f>24638+12654</f>
        <v>37292</v>
      </c>
      <c r="I140" s="34"/>
      <c r="J140" s="34"/>
    </row>
    <row r="141" spans="1:10" ht="41.25" customHeight="1">
      <c r="A141" s="119" t="s">
        <v>670</v>
      </c>
      <c r="B141" s="119" t="s">
        <v>444</v>
      </c>
      <c r="C141" s="119" t="s">
        <v>441</v>
      </c>
      <c r="D141" s="123" t="s">
        <v>445</v>
      </c>
      <c r="E141" s="395" t="s">
        <v>75</v>
      </c>
      <c r="F141" s="398" t="s">
        <v>76</v>
      </c>
      <c r="G141" s="34">
        <f aca="true" t="shared" si="6" ref="G141:G150">H141+I141</f>
        <v>44480</v>
      </c>
      <c r="H141" s="34">
        <v>44480</v>
      </c>
      <c r="I141" s="34"/>
      <c r="J141" s="34"/>
    </row>
    <row r="142" spans="1:10" ht="42.75" customHeight="1">
      <c r="A142" s="119" t="s">
        <v>617</v>
      </c>
      <c r="B142" s="119" t="s">
        <v>447</v>
      </c>
      <c r="C142" s="119" t="s">
        <v>441</v>
      </c>
      <c r="D142" s="123" t="s">
        <v>146</v>
      </c>
      <c r="E142" s="399"/>
      <c r="F142" s="358"/>
      <c r="G142" s="34">
        <f t="shared" si="6"/>
        <v>55000</v>
      </c>
      <c r="H142" s="34">
        <v>55000</v>
      </c>
      <c r="I142" s="34"/>
      <c r="J142" s="34"/>
    </row>
    <row r="143" spans="1:10" ht="39" customHeight="1">
      <c r="A143" s="119" t="s">
        <v>618</v>
      </c>
      <c r="B143" s="119" t="s">
        <v>453</v>
      </c>
      <c r="C143" s="119" t="s">
        <v>441</v>
      </c>
      <c r="D143" s="123" t="s">
        <v>454</v>
      </c>
      <c r="E143" s="399"/>
      <c r="F143" s="358"/>
      <c r="G143" s="34">
        <f t="shared" si="6"/>
        <v>3384186</v>
      </c>
      <c r="H143" s="34">
        <f>2039358+511184+144987-12654</f>
        <v>2682875</v>
      </c>
      <c r="I143" s="34">
        <f aca="true" t="shared" si="7" ref="I143:I149">J143</f>
        <v>701311</v>
      </c>
      <c r="J143" s="34">
        <f>199980+108131+385200+8000</f>
        <v>701311</v>
      </c>
    </row>
    <row r="144" spans="1:10" ht="49.5" customHeight="1">
      <c r="A144" s="119" t="s">
        <v>668</v>
      </c>
      <c r="B144" s="119" t="s">
        <v>669</v>
      </c>
      <c r="C144" s="119" t="s">
        <v>441</v>
      </c>
      <c r="D144" s="123" t="s">
        <v>671</v>
      </c>
      <c r="E144" s="400"/>
      <c r="F144" s="342"/>
      <c r="G144" s="34">
        <f t="shared" si="6"/>
        <v>623374</v>
      </c>
      <c r="H144" s="34">
        <f>199000+299792+49532</f>
        <v>548324</v>
      </c>
      <c r="I144" s="34">
        <f t="shared" si="7"/>
        <v>75050</v>
      </c>
      <c r="J144" s="34">
        <v>75050</v>
      </c>
    </row>
    <row r="145" spans="1:10" ht="43.5" customHeight="1">
      <c r="A145" s="119" t="s">
        <v>619</v>
      </c>
      <c r="B145" s="119" t="s">
        <v>460</v>
      </c>
      <c r="C145" s="119" t="s">
        <v>461</v>
      </c>
      <c r="D145" s="123" t="s">
        <v>462</v>
      </c>
      <c r="E145" s="395" t="s">
        <v>75</v>
      </c>
      <c r="F145" s="398" t="s">
        <v>76</v>
      </c>
      <c r="G145" s="34">
        <f t="shared" si="6"/>
        <v>122576</v>
      </c>
      <c r="H145" s="34">
        <v>122576</v>
      </c>
      <c r="I145" s="34"/>
      <c r="J145" s="34"/>
    </row>
    <row r="146" spans="1:10" ht="37.5" customHeight="1">
      <c r="A146" s="119" t="s">
        <v>665</v>
      </c>
      <c r="B146" s="119" t="s">
        <v>666</v>
      </c>
      <c r="C146" s="119" t="s">
        <v>463</v>
      </c>
      <c r="D146" s="123" t="s">
        <v>667</v>
      </c>
      <c r="E146" s="399"/>
      <c r="F146" s="358"/>
      <c r="G146" s="34">
        <f t="shared" si="6"/>
        <v>325486</v>
      </c>
      <c r="H146" s="34"/>
      <c r="I146" s="34">
        <f t="shared" si="7"/>
        <v>325486</v>
      </c>
      <c r="J146" s="34">
        <f>575278+50000-299792</f>
        <v>325486</v>
      </c>
    </row>
    <row r="147" spans="1:10" ht="45.75" customHeight="1">
      <c r="A147" s="119" t="s">
        <v>620</v>
      </c>
      <c r="B147" s="119" t="s">
        <v>621</v>
      </c>
      <c r="C147" s="119" t="s">
        <v>463</v>
      </c>
      <c r="D147" s="123" t="s">
        <v>622</v>
      </c>
      <c r="E147" s="399"/>
      <c r="F147" s="358"/>
      <c r="G147" s="34">
        <f t="shared" si="6"/>
        <v>2727572</v>
      </c>
      <c r="H147" s="34"/>
      <c r="I147" s="34">
        <f t="shared" si="7"/>
        <v>2727572</v>
      </c>
      <c r="J147" s="34">
        <f>2542137+35459+149976</f>
        <v>2727572</v>
      </c>
    </row>
    <row r="148" spans="1:10" ht="62.25" customHeight="1">
      <c r="A148" s="119" t="s">
        <v>623</v>
      </c>
      <c r="B148" s="119" t="s">
        <v>624</v>
      </c>
      <c r="C148" s="119" t="s">
        <v>463</v>
      </c>
      <c r="D148" s="123" t="s">
        <v>625</v>
      </c>
      <c r="E148" s="399"/>
      <c r="F148" s="358"/>
      <c r="G148" s="34">
        <f t="shared" si="6"/>
        <v>93500</v>
      </c>
      <c r="H148" s="34"/>
      <c r="I148" s="34">
        <f t="shared" si="7"/>
        <v>93500</v>
      </c>
      <c r="J148" s="34">
        <v>93500</v>
      </c>
    </row>
    <row r="149" spans="1:10" ht="66" customHeight="1">
      <c r="A149" s="119" t="s">
        <v>626</v>
      </c>
      <c r="B149" s="119" t="s">
        <v>466</v>
      </c>
      <c r="C149" s="119" t="s">
        <v>467</v>
      </c>
      <c r="D149" s="123" t="s">
        <v>468</v>
      </c>
      <c r="E149" s="399"/>
      <c r="F149" s="358"/>
      <c r="G149" s="34">
        <f t="shared" si="6"/>
        <v>3062717</v>
      </c>
      <c r="H149" s="34">
        <f>1609406+225077+190000-151568</f>
        <v>1872915</v>
      </c>
      <c r="I149" s="34">
        <f t="shared" si="7"/>
        <v>1189802</v>
      </c>
      <c r="J149" s="34">
        <v>1189802</v>
      </c>
    </row>
    <row r="150" spans="1:10" ht="39.75" customHeight="1">
      <c r="A150" s="119" t="s">
        <v>627</v>
      </c>
      <c r="B150" s="119" t="s">
        <v>473</v>
      </c>
      <c r="C150" s="119" t="s">
        <v>464</v>
      </c>
      <c r="D150" s="123" t="s">
        <v>474</v>
      </c>
      <c r="E150" s="400"/>
      <c r="F150" s="342"/>
      <c r="G150" s="34">
        <f t="shared" si="6"/>
        <v>5566</v>
      </c>
      <c r="H150" s="138">
        <f>3974+1592</f>
        <v>5566</v>
      </c>
      <c r="I150" s="34"/>
      <c r="J150" s="138"/>
    </row>
    <row r="151" spans="1:10" ht="41.25" customHeight="1">
      <c r="A151" s="184" t="s">
        <v>628</v>
      </c>
      <c r="B151" s="184"/>
      <c r="C151" s="184"/>
      <c r="D151" s="185" t="s">
        <v>629</v>
      </c>
      <c r="E151" s="150"/>
      <c r="F151" s="125"/>
      <c r="G151" s="36">
        <f>G152</f>
        <v>67000</v>
      </c>
      <c r="H151" s="187">
        <f>H152</f>
        <v>67000</v>
      </c>
      <c r="I151" s="36"/>
      <c r="J151" s="187"/>
    </row>
    <row r="152" spans="1:10" ht="57" customHeight="1">
      <c r="A152" s="184" t="s">
        <v>630</v>
      </c>
      <c r="B152" s="184"/>
      <c r="C152" s="184"/>
      <c r="D152" s="185" t="s">
        <v>629</v>
      </c>
      <c r="E152" s="150"/>
      <c r="F152" s="125"/>
      <c r="G152" s="36">
        <f>H152+I152</f>
        <v>67000</v>
      </c>
      <c r="H152" s="187">
        <f>SUM(H153)</f>
        <v>67000</v>
      </c>
      <c r="I152" s="36"/>
      <c r="J152" s="187"/>
    </row>
    <row r="153" spans="1:10" ht="115.5" customHeight="1">
      <c r="A153" s="119" t="s">
        <v>631</v>
      </c>
      <c r="B153" s="119" t="s">
        <v>494</v>
      </c>
      <c r="C153" s="119" t="s">
        <v>399</v>
      </c>
      <c r="D153" s="123" t="s">
        <v>495</v>
      </c>
      <c r="E153" s="120" t="s">
        <v>771</v>
      </c>
      <c r="F153" s="115" t="s">
        <v>141</v>
      </c>
      <c r="G153" s="34">
        <f>H153+I153</f>
        <v>67000</v>
      </c>
      <c r="H153" s="138">
        <v>67000</v>
      </c>
      <c r="I153" s="34"/>
      <c r="J153" s="138"/>
    </row>
    <row r="154" spans="1:10" ht="35.25" customHeight="1">
      <c r="A154" s="184" t="s">
        <v>632</v>
      </c>
      <c r="B154" s="184"/>
      <c r="C154" s="184"/>
      <c r="D154" s="185" t="s">
        <v>633</v>
      </c>
      <c r="E154" s="186"/>
      <c r="F154" s="28"/>
      <c r="G154" s="36">
        <f>G155</f>
        <v>6009260</v>
      </c>
      <c r="H154" s="36">
        <f>H155</f>
        <v>1380198</v>
      </c>
      <c r="I154" s="36">
        <f>I155</f>
        <v>4629062</v>
      </c>
      <c r="J154" s="36">
        <f>J155</f>
        <v>4629062</v>
      </c>
    </row>
    <row r="155" spans="1:10" ht="37.5" customHeight="1">
      <c r="A155" s="117" t="s">
        <v>634</v>
      </c>
      <c r="B155" s="117"/>
      <c r="C155" s="117"/>
      <c r="D155" s="137" t="s">
        <v>633</v>
      </c>
      <c r="E155" s="139"/>
      <c r="F155" s="28"/>
      <c r="G155" s="36">
        <f>G156+G157+G158</f>
        <v>6009260</v>
      </c>
      <c r="H155" s="36">
        <f>H156+H157+H158</f>
        <v>1380198</v>
      </c>
      <c r="I155" s="36">
        <f>I156+I157+I158</f>
        <v>4629062</v>
      </c>
      <c r="J155" s="36">
        <f>J156+J157+J158</f>
        <v>4629062</v>
      </c>
    </row>
    <row r="156" spans="1:10" ht="102.75" customHeight="1">
      <c r="A156" s="115">
        <v>3718881</v>
      </c>
      <c r="B156" s="115">
        <v>8881</v>
      </c>
      <c r="C156" s="140" t="s">
        <v>464</v>
      </c>
      <c r="D156" s="123" t="s">
        <v>77</v>
      </c>
      <c r="E156" s="120" t="s">
        <v>27</v>
      </c>
      <c r="F156" s="115" t="s">
        <v>28</v>
      </c>
      <c r="G156" s="34">
        <f>H156+I156</f>
        <v>4629062</v>
      </c>
      <c r="H156" s="34"/>
      <c r="I156" s="34">
        <f>J156</f>
        <v>4629062</v>
      </c>
      <c r="J156" s="34">
        <f>4629062</f>
        <v>4629062</v>
      </c>
    </row>
    <row r="157" spans="1:10" ht="107.25" customHeight="1">
      <c r="A157" s="119" t="s">
        <v>718</v>
      </c>
      <c r="B157" s="119" t="s">
        <v>719</v>
      </c>
      <c r="C157" s="119" t="s">
        <v>405</v>
      </c>
      <c r="D157" s="123" t="s">
        <v>698</v>
      </c>
      <c r="E157" s="395" t="s">
        <v>27</v>
      </c>
      <c r="F157" s="115" t="s">
        <v>28</v>
      </c>
      <c r="G157" s="34">
        <f>H157+I157</f>
        <v>202048</v>
      </c>
      <c r="H157" s="34">
        <v>202048</v>
      </c>
      <c r="I157" s="34"/>
      <c r="J157" s="34"/>
    </row>
    <row r="158" spans="1:10" ht="105.75" customHeight="1">
      <c r="A158" s="119" t="s">
        <v>722</v>
      </c>
      <c r="B158" s="119" t="s">
        <v>723</v>
      </c>
      <c r="C158" s="119" t="s">
        <v>405</v>
      </c>
      <c r="D158" s="123" t="s">
        <v>724</v>
      </c>
      <c r="E158" s="397"/>
      <c r="F158" s="115" t="s">
        <v>28</v>
      </c>
      <c r="G158" s="34">
        <f>H158+I158</f>
        <v>1178150</v>
      </c>
      <c r="H158" s="34">
        <f>15000+100000+190000+69650+48500+150000+200000+405000</f>
        <v>1178150</v>
      </c>
      <c r="I158" s="34"/>
      <c r="J158" s="34"/>
    </row>
    <row r="159" spans="1:10" ht="27.75" customHeight="1">
      <c r="A159" s="141" t="s">
        <v>388</v>
      </c>
      <c r="B159" s="141" t="s">
        <v>388</v>
      </c>
      <c r="C159" s="141" t="s">
        <v>388</v>
      </c>
      <c r="D159" s="141" t="s">
        <v>387</v>
      </c>
      <c r="E159" s="141"/>
      <c r="F159" s="142" t="s">
        <v>388</v>
      </c>
      <c r="G159" s="36">
        <f>G18+G68+G87+G104+G114+G127+G132+G138+G154+G151</f>
        <v>185138142</v>
      </c>
      <c r="H159" s="36">
        <f>H18+H68+H87+H104+H114+H127+H132+H138+H154+H151</f>
        <v>126556333</v>
      </c>
      <c r="I159" s="36">
        <f>I18+I68+I87+I104+I114+I127+I132+I138+I154+I151</f>
        <v>58581809</v>
      </c>
      <c r="J159" s="36">
        <f>J18+J68+J87+J104+J114+J127+J132+J138+J154+J151</f>
        <v>50944137</v>
      </c>
    </row>
    <row r="164" spans="3:13" ht="23.25">
      <c r="C164" s="10" t="s">
        <v>699</v>
      </c>
      <c r="D164" s="30"/>
      <c r="E164" s="30"/>
      <c r="F164" s="31"/>
      <c r="G164" s="31"/>
      <c r="H164" s="31"/>
      <c r="I164" s="10" t="s">
        <v>700</v>
      </c>
      <c r="J164" s="30"/>
      <c r="K164" s="143"/>
      <c r="M164"/>
    </row>
    <row r="165" spans="4:10" ht="18.75">
      <c r="D165" s="30"/>
      <c r="E165" s="30"/>
      <c r="F165" s="144"/>
      <c r="G165" s="30"/>
      <c r="H165" s="30"/>
      <c r="I165" s="30"/>
      <c r="J165" s="30"/>
    </row>
  </sheetData>
  <sheetProtection/>
  <mergeCells count="93">
    <mergeCell ref="E157:E158"/>
    <mergeCell ref="B134:B135"/>
    <mergeCell ref="C134:C135"/>
    <mergeCell ref="A46:A48"/>
    <mergeCell ref="B46:B48"/>
    <mergeCell ref="C46:C48"/>
    <mergeCell ref="D46:D48"/>
    <mergeCell ref="D119:D120"/>
    <mergeCell ref="A76:A77"/>
    <mergeCell ref="B76:B77"/>
    <mergeCell ref="C76:C77"/>
    <mergeCell ref="B119:B120"/>
    <mergeCell ref="C119:C120"/>
    <mergeCell ref="A122:A123"/>
    <mergeCell ref="B122:B123"/>
    <mergeCell ref="C122:C123"/>
    <mergeCell ref="A83:A84"/>
    <mergeCell ref="B83:B84"/>
    <mergeCell ref="C83:C84"/>
    <mergeCell ref="E101:E102"/>
    <mergeCell ref="F101:F102"/>
    <mergeCell ref="D134:D135"/>
    <mergeCell ref="A109:A110"/>
    <mergeCell ref="B109:B110"/>
    <mergeCell ref="C109:C110"/>
    <mergeCell ref="D109:D110"/>
    <mergeCell ref="A119:A120"/>
    <mergeCell ref="D122:D123"/>
    <mergeCell ref="A134:A135"/>
    <mergeCell ref="E94:E95"/>
    <mergeCell ref="F94:F95"/>
    <mergeCell ref="D76:D77"/>
    <mergeCell ref="E96:E99"/>
    <mergeCell ref="F96:F99"/>
    <mergeCell ref="D83:D84"/>
    <mergeCell ref="E89:E93"/>
    <mergeCell ref="F89:F93"/>
    <mergeCell ref="A71:A72"/>
    <mergeCell ref="B71:B72"/>
    <mergeCell ref="C71:C72"/>
    <mergeCell ref="D71:D72"/>
    <mergeCell ref="A73:A75"/>
    <mergeCell ref="B73:B75"/>
    <mergeCell ref="A44:A45"/>
    <mergeCell ref="B44:B45"/>
    <mergeCell ref="A49:A50"/>
    <mergeCell ref="B49:B50"/>
    <mergeCell ref="A55:A56"/>
    <mergeCell ref="B55:B56"/>
    <mergeCell ref="A58:A63"/>
    <mergeCell ref="B58:B63"/>
    <mergeCell ref="C44:C45"/>
    <mergeCell ref="D44:D45"/>
    <mergeCell ref="C73:C75"/>
    <mergeCell ref="D73:D75"/>
    <mergeCell ref="C49:C50"/>
    <mergeCell ref="D49:D50"/>
    <mergeCell ref="C55:C56"/>
    <mergeCell ref="D55:D56"/>
    <mergeCell ref="C58:C63"/>
    <mergeCell ref="D58:D63"/>
    <mergeCell ref="A25:A30"/>
    <mergeCell ref="B25:B30"/>
    <mergeCell ref="C25:C30"/>
    <mergeCell ref="D25:D30"/>
    <mergeCell ref="A41:A42"/>
    <mergeCell ref="B41:B42"/>
    <mergeCell ref="C41:C42"/>
    <mergeCell ref="D41:D42"/>
    <mergeCell ref="I15:I16"/>
    <mergeCell ref="J15:J16"/>
    <mergeCell ref="A22:A23"/>
    <mergeCell ref="B22:B23"/>
    <mergeCell ref="C22:C23"/>
    <mergeCell ref="D22:D2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E141:E144"/>
    <mergeCell ref="F141:F144"/>
    <mergeCell ref="E145:E150"/>
    <mergeCell ref="F145:F150"/>
    <mergeCell ref="E106:E108"/>
    <mergeCell ref="F106:F108"/>
    <mergeCell ref="E111:E113"/>
    <mergeCell ref="F111:F1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2020-09-07T10:30:03Z</cp:lastPrinted>
  <dcterms:created xsi:type="dcterms:W3CDTF">2019-10-18T11:31:34Z</dcterms:created>
  <dcterms:modified xsi:type="dcterms:W3CDTF">2020-09-07T10:31:29Z</dcterms:modified>
  <cp:category/>
  <cp:version/>
  <cp:contentType/>
  <cp:contentStatus/>
</cp:coreProperties>
</file>