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tabRatio="603" activeTab="4"/>
  </bookViews>
  <sheets>
    <sheet name="ЗОШ 11-12" sheetId="1" r:id="rId1"/>
    <sheet name="дод 2" sheetId="2" r:id="rId2"/>
    <sheet name="дод 3" sheetId="3" r:id="rId3"/>
    <sheet name="ДДЗ 11-12" sheetId="4" r:id="rId4"/>
    <sheet name="Дод шт.од." sheetId="5" r:id="rId5"/>
    <sheet name="НВК № 2" sheetId="6" r:id="rId6"/>
    <sheet name="НВК № 4" sheetId="7" r:id="rId7"/>
    <sheet name="Лист15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<sst xmlns="http://schemas.openxmlformats.org/spreadsheetml/2006/main" count="602" uniqueCount="337">
  <si>
    <t>від                №</t>
  </si>
  <si>
    <t xml:space="preserve">№ </t>
  </si>
  <si>
    <t xml:space="preserve">1 клас </t>
  </si>
  <si>
    <t xml:space="preserve">   1 кл. </t>
  </si>
  <si>
    <t xml:space="preserve">  2 клас</t>
  </si>
  <si>
    <t xml:space="preserve">  3 клас</t>
  </si>
  <si>
    <t xml:space="preserve">   всього</t>
  </si>
  <si>
    <t xml:space="preserve"> 5 клас</t>
  </si>
  <si>
    <t xml:space="preserve">  6 клас</t>
  </si>
  <si>
    <t xml:space="preserve">    7 клас</t>
  </si>
  <si>
    <t xml:space="preserve">  8 клас</t>
  </si>
  <si>
    <t xml:space="preserve">   9 клас</t>
  </si>
  <si>
    <t xml:space="preserve"> всього </t>
  </si>
  <si>
    <t xml:space="preserve"> 10 клас</t>
  </si>
  <si>
    <t xml:space="preserve"> 11 клас</t>
  </si>
  <si>
    <t>12 кл</t>
  </si>
  <si>
    <t xml:space="preserve">  Разом</t>
  </si>
  <si>
    <t xml:space="preserve"> п/п</t>
  </si>
  <si>
    <t>Школи</t>
  </si>
  <si>
    <t xml:space="preserve">   школа</t>
  </si>
  <si>
    <t>клас</t>
  </si>
  <si>
    <t>учні</t>
  </si>
  <si>
    <t xml:space="preserve"> 1 - 4 класи</t>
  </si>
  <si>
    <t>10-12 класи</t>
  </si>
  <si>
    <t>Фінансуються з міського бюджету</t>
  </si>
  <si>
    <t>ЗОШ №1</t>
  </si>
  <si>
    <t>НВК №2</t>
  </si>
  <si>
    <t>ЗОШ №3</t>
  </si>
  <si>
    <t>ЗОШ №6</t>
  </si>
  <si>
    <t>Гімназія</t>
  </si>
  <si>
    <t>Дніпр.ЗОШ</t>
  </si>
  <si>
    <t>Корс.НЗОШ</t>
  </si>
  <si>
    <t>Масл.ЗОШ</t>
  </si>
  <si>
    <t>Райська НШ</t>
  </si>
  <si>
    <t>Топол.НШ</t>
  </si>
  <si>
    <t xml:space="preserve">всього </t>
  </si>
  <si>
    <t>НВК №5</t>
  </si>
  <si>
    <t>НВК №7</t>
  </si>
  <si>
    <t>Всього фінансуються</t>
  </si>
  <si>
    <t>з місцевого бюджету</t>
  </si>
  <si>
    <t>без всош</t>
  </si>
  <si>
    <t>Разом</t>
  </si>
  <si>
    <t>Керуючий справами виконкому</t>
  </si>
  <si>
    <t>Полегенько В.М.</t>
  </si>
  <si>
    <t>кіль-</t>
  </si>
  <si>
    <t>1-4 кл</t>
  </si>
  <si>
    <t xml:space="preserve">     5- 9 кл</t>
  </si>
  <si>
    <t xml:space="preserve">      10-12 кл</t>
  </si>
  <si>
    <t xml:space="preserve">        Всього</t>
  </si>
  <si>
    <t>кість</t>
  </si>
  <si>
    <t>у т.ч. в</t>
  </si>
  <si>
    <t>шкіл</t>
  </si>
  <si>
    <t>класи</t>
  </si>
  <si>
    <t>ДДЗ</t>
  </si>
  <si>
    <t xml:space="preserve">фінансуються </t>
  </si>
  <si>
    <t>з міського</t>
  </si>
  <si>
    <t>бюджету</t>
  </si>
  <si>
    <t>в т.ч.</t>
  </si>
  <si>
    <t>початкових</t>
  </si>
  <si>
    <t>Неповних</t>
  </si>
  <si>
    <t>середніх</t>
  </si>
  <si>
    <t>Гімназичних</t>
  </si>
  <si>
    <t>класів</t>
  </si>
  <si>
    <t>Ліцейних класів</t>
  </si>
  <si>
    <t>Школа-</t>
  </si>
  <si>
    <t>інтернат № 1</t>
  </si>
  <si>
    <t>Допоміжна</t>
  </si>
  <si>
    <t>школа-інтернат</t>
  </si>
  <si>
    <t>Всього по місту</t>
  </si>
  <si>
    <t>Заклади</t>
  </si>
  <si>
    <t>Гуманітарні</t>
  </si>
  <si>
    <t>Іноземна</t>
  </si>
  <si>
    <t>Математика</t>
  </si>
  <si>
    <t xml:space="preserve">   Інші</t>
  </si>
  <si>
    <t>мова</t>
  </si>
  <si>
    <t>інформатика</t>
  </si>
  <si>
    <t>ЗОШ № 1</t>
  </si>
  <si>
    <t>НВК № 2</t>
  </si>
  <si>
    <t>ЗОШ № 3</t>
  </si>
  <si>
    <t>-</t>
  </si>
  <si>
    <t>ЗОШ № 4</t>
  </si>
  <si>
    <t>ЗОШ № 6</t>
  </si>
  <si>
    <t>ЗОШ № 8</t>
  </si>
  <si>
    <t xml:space="preserve">Гімназія </t>
  </si>
  <si>
    <t>ЗОШ № 10</t>
  </si>
  <si>
    <t>Ліцей</t>
  </si>
  <si>
    <t>Всього</t>
  </si>
  <si>
    <t>В.М. Полегенько</t>
  </si>
  <si>
    <t xml:space="preserve"> </t>
  </si>
  <si>
    <t>Дошкільні</t>
  </si>
  <si>
    <t xml:space="preserve">     Всього</t>
  </si>
  <si>
    <t>садов.груп</t>
  </si>
  <si>
    <t>ясел.груп</t>
  </si>
  <si>
    <t>с</t>
  </si>
  <si>
    <t>а</t>
  </si>
  <si>
    <t>д</t>
  </si>
  <si>
    <t>я с л а</t>
  </si>
  <si>
    <t>установи</t>
  </si>
  <si>
    <t>10,5 год</t>
  </si>
  <si>
    <t xml:space="preserve">    12 год</t>
  </si>
  <si>
    <t>24 год</t>
  </si>
  <si>
    <t>10,5   год</t>
  </si>
  <si>
    <t>12 год</t>
  </si>
  <si>
    <t xml:space="preserve">         24 год</t>
  </si>
  <si>
    <t xml:space="preserve">  10,5 год</t>
  </si>
  <si>
    <t>різновікові</t>
  </si>
  <si>
    <t xml:space="preserve">     спец</t>
  </si>
  <si>
    <t xml:space="preserve"> санатор.</t>
  </si>
  <si>
    <t xml:space="preserve">   12 год</t>
  </si>
  <si>
    <t>різновік.</t>
  </si>
  <si>
    <t xml:space="preserve"> спец</t>
  </si>
  <si>
    <t xml:space="preserve"> 24 год</t>
  </si>
  <si>
    <t>санатор.</t>
  </si>
  <si>
    <t>груп</t>
  </si>
  <si>
    <t>дітей</t>
  </si>
  <si>
    <t>дс1</t>
  </si>
  <si>
    <t>яс1</t>
  </si>
  <si>
    <t>яс2</t>
  </si>
  <si>
    <t>яс3</t>
  </si>
  <si>
    <t>яс4</t>
  </si>
  <si>
    <t>яс5</t>
  </si>
  <si>
    <t>яс6</t>
  </si>
  <si>
    <t>яс7</t>
  </si>
  <si>
    <t>яс8</t>
  </si>
  <si>
    <t>яс9</t>
  </si>
  <si>
    <t>яс11</t>
  </si>
  <si>
    <t>яс 15</t>
  </si>
  <si>
    <t>яс 16</t>
  </si>
  <si>
    <t>яс 18</t>
  </si>
  <si>
    <t>яс №12</t>
  </si>
  <si>
    <t>Фінансуються з бюджету Дніпрянської селищної ради</t>
  </si>
  <si>
    <t>яс13</t>
  </si>
  <si>
    <t>яс14</t>
  </si>
  <si>
    <t>Всього по Дн.с.р.</t>
  </si>
  <si>
    <t xml:space="preserve">всього по </t>
  </si>
  <si>
    <t>м.Таврійськ</t>
  </si>
  <si>
    <t>Фінансуються з бюджету Райської сільської Ради</t>
  </si>
  <si>
    <t>яс с.Райське</t>
  </si>
  <si>
    <t>яс с.Тополівка</t>
  </si>
  <si>
    <t>всього по</t>
  </si>
  <si>
    <t>Всього фінан-</t>
  </si>
  <si>
    <t>суються з місцевого бюджету</t>
  </si>
  <si>
    <t>РАЗОМ</t>
  </si>
  <si>
    <t>№</t>
  </si>
  <si>
    <t>Дніпрянська СШ</t>
  </si>
  <si>
    <t>Маслівська ЗОШ</t>
  </si>
  <si>
    <t>Райська ПШ</t>
  </si>
  <si>
    <t>Корсунська НСШ</t>
  </si>
  <si>
    <t>БДТ</t>
  </si>
  <si>
    <t>СЮТ</t>
  </si>
  <si>
    <t>СЮТур</t>
  </si>
  <si>
    <t>СЮН</t>
  </si>
  <si>
    <t>ДС № 1</t>
  </si>
  <si>
    <t xml:space="preserve">ЯС № 1 </t>
  </si>
  <si>
    <t>ЯС № 2</t>
  </si>
  <si>
    <t>ЯС № 3</t>
  </si>
  <si>
    <t>ЯС № 4</t>
  </si>
  <si>
    <t>ЯС № 5</t>
  </si>
  <si>
    <t>ЯС № 6</t>
  </si>
  <si>
    <t>ЯС № 7</t>
  </si>
  <si>
    <t>ЯС № 8</t>
  </si>
  <si>
    <t>ЯС № 9</t>
  </si>
  <si>
    <t>ЯС № 11</t>
  </si>
  <si>
    <t>ЯС № 15</t>
  </si>
  <si>
    <t>ЯС № 18</t>
  </si>
  <si>
    <t>Начальник міськво</t>
  </si>
  <si>
    <t>директор</t>
  </si>
  <si>
    <t>заст.дир</t>
  </si>
  <si>
    <t>2003-04рр</t>
  </si>
  <si>
    <t>2004-2005</t>
  </si>
  <si>
    <t>заст.дирАГЧ</t>
  </si>
  <si>
    <t>завгосп</t>
  </si>
  <si>
    <t>педагог-орган</t>
  </si>
  <si>
    <t>секретар-друкарка</t>
  </si>
  <si>
    <t>зав.бібліот</t>
  </si>
  <si>
    <t>лаборант</t>
  </si>
  <si>
    <t>робітник</t>
  </si>
  <si>
    <t>кервник гуртка</t>
  </si>
  <si>
    <t>бібліотекар</t>
  </si>
  <si>
    <t>.-0,5 кер.гурт</t>
  </si>
  <si>
    <t>лаб-0,5,кер.гур-0,5</t>
  </si>
  <si>
    <t>біб-0,5,кер.гур-0,5</t>
  </si>
  <si>
    <t>пед-орг-1,лаб-0,5</t>
  </si>
  <si>
    <t>бібл-0,5,роб-0,5</t>
  </si>
  <si>
    <t>ЦБ</t>
  </si>
  <si>
    <t>логопед</t>
  </si>
  <si>
    <t>О.О. Якубова</t>
  </si>
  <si>
    <t>ДОДАТКОВІ   ШТАТНІ     ОДИНИЦІ</t>
  </si>
  <si>
    <t>міського  голови</t>
  </si>
  <si>
    <t>міського голови</t>
  </si>
  <si>
    <t>ЗАТВЕРДЖЕНО</t>
  </si>
  <si>
    <t xml:space="preserve"> рішення виконкому</t>
  </si>
  <si>
    <t>О.О Якубова</t>
  </si>
  <si>
    <t>ДЮСШ</t>
  </si>
  <si>
    <t>Головний бухгалтер</t>
  </si>
  <si>
    <t>Л.В. Потапенко</t>
  </si>
  <si>
    <t>очні класи</t>
  </si>
  <si>
    <t>заочні класи</t>
  </si>
  <si>
    <t>санатор</t>
  </si>
  <si>
    <t>ШТАТНИЙ РОЗПИС</t>
  </si>
  <si>
    <t>ЗАТВЕРДЖУЮ</t>
  </si>
  <si>
    <t>Штат в кількості_______________________</t>
  </si>
  <si>
    <t>од</t>
  </si>
  <si>
    <t>штатних одиниць із місячним фондом</t>
  </si>
  <si>
    <t>Назва установи, організації</t>
  </si>
  <si>
    <t>заробітної плати_______________________</t>
  </si>
  <si>
    <t>грн</t>
  </si>
  <si>
    <t>_____________________________________</t>
  </si>
  <si>
    <t>( підпис керівника)</t>
  </si>
  <si>
    <t>(число, місяць, рік)</t>
  </si>
  <si>
    <t xml:space="preserve">№  </t>
  </si>
  <si>
    <t>Посадовий</t>
  </si>
  <si>
    <t xml:space="preserve">н а д б а в к и </t>
  </si>
  <si>
    <t>Доплати</t>
  </si>
  <si>
    <t xml:space="preserve">Фонд </t>
  </si>
  <si>
    <t>Надбавка</t>
  </si>
  <si>
    <t>доплата</t>
  </si>
  <si>
    <t>п/п</t>
  </si>
  <si>
    <t>оклад</t>
  </si>
  <si>
    <t>перев.</t>
  </si>
  <si>
    <t>кл.кер.</t>
  </si>
  <si>
    <t>кабінет</t>
  </si>
  <si>
    <t>майстер</t>
  </si>
  <si>
    <t>тепл</t>
  </si>
  <si>
    <t>позакл.робота</t>
  </si>
  <si>
    <t>комп.</t>
  </si>
  <si>
    <t>погр-разгр</t>
  </si>
  <si>
    <t>старшинс</t>
  </si>
  <si>
    <t>шкід-</t>
  </si>
  <si>
    <t>зав.</t>
  </si>
  <si>
    <t xml:space="preserve">  нічні</t>
  </si>
  <si>
    <t>зарплати</t>
  </si>
  <si>
    <t>за вислугу</t>
  </si>
  <si>
    <t>до мін.</t>
  </si>
  <si>
    <t>ФЗП на</t>
  </si>
  <si>
    <t>ст.57</t>
  </si>
  <si>
    <t>щорічна</t>
  </si>
  <si>
    <t>зошитів</t>
  </si>
  <si>
    <t>делян</t>
  </si>
  <si>
    <t>дпю</t>
  </si>
  <si>
    <t>физ-ра</t>
  </si>
  <si>
    <t>ливість</t>
  </si>
  <si>
    <t>бібліот</t>
  </si>
  <si>
    <t>мет.об</t>
  </si>
  <si>
    <t>на місяць</t>
  </si>
  <si>
    <t xml:space="preserve">  на рік</t>
  </si>
  <si>
    <t>років,міс</t>
  </si>
  <si>
    <t>років,рік</t>
  </si>
  <si>
    <t>310 грн</t>
  </si>
  <si>
    <t>місяць</t>
  </si>
  <si>
    <t>мат.допоп.</t>
  </si>
  <si>
    <t>винагорода</t>
  </si>
  <si>
    <t>Адміністративний персонал</t>
  </si>
  <si>
    <t>Директор</t>
  </si>
  <si>
    <t>Заступник  директора по учбово-виховній роботі</t>
  </si>
  <si>
    <t>Педагог-организатор</t>
  </si>
  <si>
    <t>Соціальний педагог</t>
  </si>
  <si>
    <t>Психолог</t>
  </si>
  <si>
    <t>Акомпаніатор</t>
  </si>
  <si>
    <t>Керівник гуртка</t>
  </si>
  <si>
    <t>Вихователь-методист</t>
  </si>
  <si>
    <t>Музикальний керівник</t>
  </si>
  <si>
    <t>Педагогічні ставки</t>
  </si>
  <si>
    <t xml:space="preserve">Вихователь </t>
  </si>
  <si>
    <t>Спеціалісти</t>
  </si>
  <si>
    <t>Завідувач бібліотекой</t>
  </si>
  <si>
    <t>Бібліотекар</t>
  </si>
  <si>
    <t>Заступник директора по АГЧ</t>
  </si>
  <si>
    <t>Лаборант</t>
  </si>
  <si>
    <t>Секретар -друкарка</t>
  </si>
  <si>
    <t>Медсестра</t>
  </si>
  <si>
    <t>Старша медсестра</t>
  </si>
  <si>
    <t>Обслуговуючий персонал</t>
  </si>
  <si>
    <t>Прибиральник службових приміщень</t>
  </si>
  <si>
    <t>Гардеробник</t>
  </si>
  <si>
    <t>Прибиральник території</t>
  </si>
  <si>
    <t>Робітник з комплексного обслуговування і ремонту будинків,споруд і обладнання</t>
  </si>
  <si>
    <t>Сторож</t>
  </si>
  <si>
    <t>Робітник,зайнятий екслуатацією та обслуговуванням котелень</t>
  </si>
  <si>
    <t>Підсобний робітник</t>
  </si>
  <si>
    <t>Кухар</t>
  </si>
  <si>
    <t>Кастелянка</t>
  </si>
  <si>
    <t>Машиніст із прання та ремонту спецодягу</t>
  </si>
  <si>
    <t>Помічник вихователя</t>
  </si>
  <si>
    <t>Санітарка-няня</t>
  </si>
  <si>
    <t>Є.В. Пуляєва</t>
  </si>
  <si>
    <t>Л.В.Потапенко</t>
  </si>
  <si>
    <t>Назва структурного підрозділу та посад</t>
  </si>
  <si>
    <t>Кількість штатних посад</t>
  </si>
  <si>
    <t>Завідувач господарства по дошкільному закладу</t>
  </si>
  <si>
    <t>Комірник</t>
  </si>
  <si>
    <t>Корсунська НШ</t>
  </si>
  <si>
    <t>О.О.Якубова</t>
  </si>
  <si>
    <t>рішення виконкому</t>
  </si>
  <si>
    <t>_______№ ________</t>
  </si>
  <si>
    <t>1 класи</t>
  </si>
  <si>
    <t xml:space="preserve">  ДНЗ</t>
  </si>
  <si>
    <t>НВК №4</t>
  </si>
  <si>
    <t>НВК № 5</t>
  </si>
  <si>
    <t>НВК № 7</t>
  </si>
  <si>
    <t>НВК № 4</t>
  </si>
  <si>
    <t>Пракчичний психолог</t>
  </si>
  <si>
    <t xml:space="preserve">Завідувач господарства </t>
  </si>
  <si>
    <t>Майстер виробничого навчання</t>
  </si>
  <si>
    <t>Заступник директора з навчально-вих.роботи</t>
  </si>
  <si>
    <t>Заступник</t>
  </si>
  <si>
    <t>4 клас</t>
  </si>
  <si>
    <t>ЗОШ №10</t>
  </si>
  <si>
    <t xml:space="preserve">Заступник  міського  голови </t>
  </si>
  <si>
    <t xml:space="preserve">Шкіл, які </t>
  </si>
  <si>
    <t>Заступник  міського  голови</t>
  </si>
  <si>
    <t>Фінансуються з бюджету м. Таврійська</t>
  </si>
  <si>
    <t xml:space="preserve">Заступник </t>
  </si>
  <si>
    <t>Звукорежисер</t>
  </si>
  <si>
    <t>Таврій-</t>
  </si>
  <si>
    <t>ської міської ради</t>
  </si>
  <si>
    <t xml:space="preserve">з бюджету </t>
  </si>
  <si>
    <t>від</t>
  </si>
  <si>
    <t>СЗОШ №8</t>
  </si>
  <si>
    <t xml:space="preserve">Заступник  директора по учбово-виховній роботі </t>
  </si>
  <si>
    <t>Вихователь ГПД</t>
  </si>
  <si>
    <t>Завідувач бібліотекою</t>
  </si>
  <si>
    <t>Практичний психолог</t>
  </si>
  <si>
    <t>Райск.сіл.раді</t>
  </si>
  <si>
    <t>Медична сестра</t>
  </si>
  <si>
    <t>Вихователь</t>
  </si>
  <si>
    <t>Енергетик</t>
  </si>
  <si>
    <t>Юрист</t>
  </si>
  <si>
    <t xml:space="preserve">Мережа шкіл міста Нова Каховка на 2011 - 2012 навчальний рік </t>
  </si>
  <si>
    <t>Мережа дитячих дошкільних закладів на 2011-2012 рік</t>
  </si>
  <si>
    <t>год</t>
  </si>
  <si>
    <t xml:space="preserve"> 5 - 9 класи</t>
  </si>
  <si>
    <t>В.М. Мерзлов</t>
  </si>
  <si>
    <t>яс 1 НВК № 7</t>
  </si>
  <si>
    <t>яс 54 НВК № 5</t>
  </si>
  <si>
    <t xml:space="preserve"> Мережа шкіл міста Нова Каховка на 2011 -  2012 рік </t>
  </si>
  <si>
    <t>Класи з поглибленим вивченням предметів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</si>
</sst>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000"/>
    <numFmt numFmtId="181" formatCode="0.000"/>
    <numFmt numFmtId="182" formatCode="0.0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sz val="10"/>
      <color indexed="8"/>
      <name val="Arial Cyr"/>
      <family val="2"/>
    </font>
    <font>
      <b/>
      <sz val="11"/>
      <name val="Arial Cyr"/>
      <family val="2"/>
    </font>
    <font>
      <b/>
      <sz val="10"/>
      <color indexed="8"/>
      <name val="Arial Cyr"/>
      <family val="2"/>
    </font>
    <font>
      <sz val="8"/>
      <name val="Arial Cyr"/>
      <family val="0"/>
    </font>
    <font>
      <sz val="9"/>
      <name val="Arial Cyr"/>
      <family val="0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12"/>
      <color indexed="8"/>
      <name val="Arial Cyr"/>
      <family val="2"/>
    </font>
    <font>
      <sz val="11"/>
      <color indexed="8"/>
      <name val="Arial Cyr"/>
      <family val="2"/>
    </font>
    <font>
      <b/>
      <sz val="16"/>
      <color indexed="8"/>
      <name val="Arial Cyr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5" fillId="0" borderId="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4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Continuous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4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3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1" fillId="0" borderId="14" xfId="0" applyFont="1" applyBorder="1" applyAlignment="1">
      <alignment/>
    </xf>
    <xf numFmtId="0" fontId="11" fillId="0" borderId="16" xfId="0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82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14" fontId="6" fillId="0" borderId="8" xfId="0" applyNumberFormat="1" applyFont="1" applyBorder="1" applyAlignment="1">
      <alignment/>
    </xf>
    <xf numFmtId="14" fontId="6" fillId="0" borderId="0" xfId="0" applyNumberFormat="1" applyFont="1" applyAlignment="1">
      <alignment/>
    </xf>
    <xf numFmtId="0" fontId="6" fillId="0" borderId="8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4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4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/>
    </xf>
    <xf numFmtId="0" fontId="12" fillId="0" borderId="43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46" xfId="0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7" xfId="0" applyBorder="1" applyAlignment="1">
      <alignment/>
    </xf>
    <xf numFmtId="0" fontId="6" fillId="0" borderId="23" xfId="0" applyFont="1" applyBorder="1" applyAlignment="1">
      <alignment/>
    </xf>
    <xf numFmtId="0" fontId="6" fillId="0" borderId="2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/>
    </xf>
    <xf numFmtId="0" fontId="6" fillId="0" borderId="48" xfId="0" applyFont="1" applyBorder="1" applyAlignment="1">
      <alignment/>
    </xf>
    <xf numFmtId="2" fontId="6" fillId="0" borderId="1" xfId="0" applyNumberFormat="1" applyFont="1" applyBorder="1" applyAlignment="1">
      <alignment/>
    </xf>
    <xf numFmtId="0" fontId="6" fillId="0" borderId="47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182" fontId="6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2" fontId="6" fillId="0" borderId="50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82" fontId="6" fillId="0" borderId="50" xfId="0" applyNumberFormat="1" applyFont="1" applyBorder="1" applyAlignment="1">
      <alignment horizontal="center"/>
    </xf>
    <xf numFmtId="2" fontId="0" fillId="0" borderId="50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0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0" fillId="0" borderId="5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2" fillId="0" borderId="1" xfId="0" applyFont="1" applyBorder="1" applyAlignment="1">
      <alignment horizontal="right"/>
    </xf>
    <xf numFmtId="0" fontId="1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1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9" xfId="0" applyFont="1" applyBorder="1" applyAlignment="1">
      <alignment/>
    </xf>
    <xf numFmtId="0" fontId="4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5" fillId="0" borderId="29" xfId="0" applyFont="1" applyBorder="1" applyAlignment="1">
      <alignment/>
    </xf>
    <xf numFmtId="14" fontId="8" fillId="0" borderId="0" xfId="0" applyNumberFormat="1" applyFont="1" applyAlignment="1">
      <alignment/>
    </xf>
    <xf numFmtId="14" fontId="0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5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us\&#1076;&#1086;&#1082;&#1091;&#1084;&#1077;&#1085;&#1090;&#1099;\Documents%20and%20Settings\&#1040;&#1076;&#1084;&#1080;&#1085;&#1080;&#1089;&#1090;&#1088;&#1072;&#1090;&#1086;&#1088;\&#1056;&#1072;&#1073;&#1086;&#1095;&#1080;&#1081;%20&#1089;&#1090;&#1086;&#1083;\&#1058;&#1072;&#1088;&#1080;&#1092;&#1080;&#1082;&#1072;&#1094;&#1080;&#1103;%20&#1096;&#1082;&#1086;&#1083;%20&#1085;&#1072;%201.09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ш1"/>
      <sheetName val="ш1"/>
      <sheetName val="гпд сш1"/>
      <sheetName val="НВК 2"/>
      <sheetName val="вихНВК2"/>
      <sheetName val="Поділ класу"/>
      <sheetName val="гпд нвк 2"/>
      <sheetName val="ш2"/>
      <sheetName val="сш3"/>
      <sheetName val="ш3"/>
      <sheetName val="сш4"/>
      <sheetName val="ш4"/>
      <sheetName val="сш6"/>
      <sheetName val="ш6"/>
      <sheetName val="сш8"/>
      <sheetName val="ш8"/>
      <sheetName val="гімназія"/>
      <sheetName val="ш9"/>
      <sheetName val="сш10"/>
      <sheetName val="ш10"/>
      <sheetName val="Дніпр."/>
      <sheetName val="шДН"/>
      <sheetName val="Корс."/>
      <sheetName val="шКор"/>
      <sheetName val="логоп"/>
      <sheetName val="шЛог"/>
      <sheetName val="лицей"/>
      <sheetName val="шЛиц"/>
      <sheetName val="ТОПОЛ"/>
      <sheetName val="шТоп"/>
      <sheetName val="Райск"/>
      <sheetName val="шРай"/>
      <sheetName val="масл"/>
      <sheetName val="шМасл"/>
      <sheetName val="свод шт"/>
      <sheetName val="Лист1"/>
      <sheetName val="свод"/>
    </sheetNames>
    <sheetDataSet>
      <sheetData sheetId="3">
        <row r="8">
          <cell r="BT8">
            <v>0</v>
          </cell>
        </row>
        <row r="10">
          <cell r="BT10">
            <v>0</v>
          </cell>
        </row>
        <row r="12">
          <cell r="BT12">
            <v>0</v>
          </cell>
        </row>
        <row r="14">
          <cell r="BT14">
            <v>0</v>
          </cell>
        </row>
        <row r="16">
          <cell r="BT16">
            <v>0</v>
          </cell>
        </row>
        <row r="18">
          <cell r="BH18">
            <v>0</v>
          </cell>
          <cell r="BT18">
            <v>0</v>
          </cell>
        </row>
        <row r="19">
          <cell r="BH19">
            <v>0</v>
          </cell>
          <cell r="BT19">
            <v>18</v>
          </cell>
        </row>
        <row r="20">
          <cell r="BH20">
            <v>0</v>
          </cell>
          <cell r="BT20">
            <v>0</v>
          </cell>
        </row>
        <row r="21">
          <cell r="BH21">
            <v>0</v>
          </cell>
          <cell r="BT21">
            <v>24.166666666666664</v>
          </cell>
        </row>
        <row r="22">
          <cell r="BH22">
            <v>0</v>
          </cell>
          <cell r="BT22">
            <v>0</v>
          </cell>
        </row>
        <row r="24">
          <cell r="BH24">
            <v>0</v>
          </cell>
          <cell r="BT24">
            <v>41.5</v>
          </cell>
        </row>
        <row r="26">
          <cell r="BT26">
            <v>0</v>
          </cell>
        </row>
        <row r="28">
          <cell r="BH28">
            <v>0</v>
          </cell>
          <cell r="BT28">
            <v>0</v>
          </cell>
        </row>
        <row r="29">
          <cell r="BH29">
            <v>0</v>
          </cell>
          <cell r="BT29">
            <v>0</v>
          </cell>
        </row>
        <row r="32">
          <cell r="BM32">
            <v>1</v>
          </cell>
          <cell r="BT32">
            <v>0</v>
          </cell>
        </row>
        <row r="131">
          <cell r="Q131">
            <v>100</v>
          </cell>
          <cell r="R131">
            <v>8939.428888888891</v>
          </cell>
          <cell r="S131">
            <v>16194.71655555556</v>
          </cell>
          <cell r="U131">
            <v>256</v>
          </cell>
          <cell r="Y131">
            <v>91</v>
          </cell>
          <cell r="Z131">
            <v>817.8983333333333</v>
          </cell>
          <cell r="AA131">
            <v>244.85000000000002</v>
          </cell>
          <cell r="AE131">
            <v>20</v>
          </cell>
          <cell r="AF131">
            <v>176.10444444444443</v>
          </cell>
          <cell r="AG131">
            <v>33.2</v>
          </cell>
          <cell r="AJ131">
            <v>12</v>
          </cell>
          <cell r="AL131">
            <v>16</v>
          </cell>
          <cell r="AQ131">
            <v>1</v>
          </cell>
          <cell r="AX131">
            <v>0</v>
          </cell>
          <cell r="AY131">
            <v>74.7</v>
          </cell>
          <cell r="AZ131">
            <v>0</v>
          </cell>
          <cell r="BB131">
            <v>27</v>
          </cell>
          <cell r="BG131">
            <v>0</v>
          </cell>
          <cell r="BP131">
            <v>0</v>
          </cell>
          <cell r="BS131">
            <v>7683.1176000000005</v>
          </cell>
          <cell r="BU131">
            <v>1243.4250000000002</v>
          </cell>
        </row>
      </sheetData>
      <sheetData sheetId="4">
        <row r="34">
          <cell r="P34">
            <v>0</v>
          </cell>
          <cell r="Q34">
            <v>4425.3</v>
          </cell>
          <cell r="Z34">
            <v>1336.8</v>
          </cell>
          <cell r="AA34">
            <v>1090.83</v>
          </cell>
        </row>
      </sheetData>
      <sheetData sheetId="7">
        <row r="16">
          <cell r="C16">
            <v>1.5</v>
          </cell>
        </row>
        <row r="17">
          <cell r="C17">
            <v>0.75</v>
          </cell>
        </row>
        <row r="19">
          <cell r="C19">
            <v>1</v>
          </cell>
        </row>
        <row r="20">
          <cell r="C20">
            <v>1.5</v>
          </cell>
        </row>
        <row r="22">
          <cell r="C22">
            <v>1.5</v>
          </cell>
        </row>
        <row r="27">
          <cell r="C27">
            <v>57.611111111111114</v>
          </cell>
        </row>
        <row r="28">
          <cell r="C28">
            <v>10.26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67"/>
  <sheetViews>
    <sheetView workbookViewId="0" topLeftCell="A1">
      <selection activeCell="O17" sqref="O17"/>
    </sheetView>
  </sheetViews>
  <sheetFormatPr defaultColWidth="9.00390625" defaultRowHeight="12.75"/>
  <cols>
    <col min="1" max="1" width="3.125" style="22" customWidth="1"/>
    <col min="2" max="2" width="18.25390625" style="22" customWidth="1"/>
    <col min="3" max="3" width="3.75390625" style="22" customWidth="1"/>
    <col min="4" max="4" width="4.25390625" style="22" customWidth="1"/>
    <col min="5" max="7" width="3.75390625" style="22" customWidth="1"/>
    <col min="8" max="8" width="4.25390625" style="22" customWidth="1"/>
    <col min="9" max="9" width="5.625" style="22" customWidth="1"/>
    <col min="10" max="10" width="5.875" style="22" customWidth="1"/>
    <col min="11" max="11" width="4.00390625" style="22" customWidth="1"/>
    <col min="12" max="12" width="4.25390625" style="22" customWidth="1"/>
    <col min="13" max="13" width="4.25390625" style="45" customWidth="1"/>
    <col min="14" max="14" width="5.625" style="45" customWidth="1"/>
    <col min="15" max="15" width="4.00390625" style="22" customWidth="1"/>
    <col min="16" max="16" width="4.25390625" style="22" customWidth="1"/>
    <col min="17" max="17" width="3.875" style="22" customWidth="1"/>
    <col min="18" max="18" width="4.125" style="22" customWidth="1"/>
    <col min="19" max="19" width="3.625" style="22" customWidth="1"/>
    <col min="20" max="20" width="4.00390625" style="22" customWidth="1"/>
    <col min="21" max="21" width="4.25390625" style="22" customWidth="1"/>
    <col min="22" max="22" width="4.75390625" style="22" customWidth="1"/>
    <col min="23" max="23" width="4.125" style="22" customWidth="1"/>
    <col min="24" max="24" width="4.875" style="22" customWidth="1"/>
    <col min="25" max="25" width="4.375" style="45" customWidth="1"/>
    <col min="26" max="26" width="5.375" style="45" customWidth="1"/>
    <col min="27" max="27" width="3.875" style="22" customWidth="1"/>
    <col min="28" max="28" width="4.25390625" style="22" customWidth="1"/>
    <col min="29" max="29" width="4.125" style="22" customWidth="1"/>
    <col min="30" max="30" width="4.25390625" style="22" customWidth="1"/>
    <col min="31" max="31" width="4.00390625" style="22" customWidth="1"/>
    <col min="32" max="32" width="4.125" style="22" customWidth="1"/>
    <col min="33" max="33" width="3.375" style="45" customWidth="1"/>
    <col min="34" max="34" width="5.875" style="45" customWidth="1"/>
    <col min="35" max="35" width="4.625" style="45" customWidth="1"/>
    <col min="36" max="36" width="5.375" style="45" customWidth="1"/>
    <col min="37" max="37" width="8.375" style="22" hidden="1" customWidth="1"/>
    <col min="38" max="38" width="8.375" style="0" hidden="1" customWidth="1"/>
    <col min="39" max="58" width="8.375" style="22" hidden="1" customWidth="1"/>
    <col min="59" max="59" width="8.375" style="0" hidden="1" customWidth="1"/>
    <col min="60" max="60" width="9.125" style="0" hidden="1" customWidth="1"/>
    <col min="61" max="61" width="7.25390625" style="0" hidden="1" customWidth="1"/>
    <col min="68" max="16384" width="9.125" style="22" customWidth="1"/>
  </cols>
  <sheetData>
    <row r="1" spans="29:33" ht="12.75">
      <c r="AC1" s="17"/>
      <c r="AD1" s="17"/>
      <c r="AE1" s="18" t="s">
        <v>190</v>
      </c>
      <c r="AF1" s="18"/>
      <c r="AG1" s="18"/>
    </row>
    <row r="2" spans="1:33" ht="12.75">
      <c r="A2"/>
      <c r="J2" s="45"/>
      <c r="K2" s="45"/>
      <c r="L2" s="45"/>
      <c r="AD2" s="21" t="s">
        <v>191</v>
      </c>
      <c r="AE2" s="18"/>
      <c r="AF2" s="18"/>
      <c r="AG2" s="18"/>
    </row>
    <row r="3" spans="3:34" ht="12.75">
      <c r="C3" s="45"/>
      <c r="D3" s="45"/>
      <c r="E3" s="45"/>
      <c r="F3" s="45"/>
      <c r="G3" s="45" t="s">
        <v>335</v>
      </c>
      <c r="J3" s="45"/>
      <c r="K3" s="45"/>
      <c r="L3" s="46"/>
      <c r="M3" s="46"/>
      <c r="N3" s="46"/>
      <c r="AC3" s="19"/>
      <c r="AD3" s="107"/>
      <c r="AE3" s="17" t="s">
        <v>143</v>
      </c>
      <c r="AF3" s="107"/>
      <c r="AG3" s="17" t="s">
        <v>317</v>
      </c>
      <c r="AH3" s="262"/>
    </row>
    <row r="4" spans="10:14" ht="12.75">
      <c r="J4" s="45"/>
      <c r="K4" s="45"/>
      <c r="L4" s="45"/>
      <c r="M4" s="22"/>
      <c r="N4" s="22"/>
    </row>
    <row r="5" spans="1:67" s="88" customFormat="1" ht="12.75">
      <c r="A5" s="89" t="s">
        <v>1</v>
      </c>
      <c r="B5" s="89"/>
      <c r="C5" s="90" t="s">
        <v>2</v>
      </c>
      <c r="D5" s="91"/>
      <c r="E5" s="90" t="s">
        <v>3</v>
      </c>
      <c r="F5" s="91"/>
      <c r="G5" s="90" t="s">
        <v>4</v>
      </c>
      <c r="H5" s="91"/>
      <c r="I5" s="90" t="s">
        <v>5</v>
      </c>
      <c r="J5" s="245"/>
      <c r="K5" s="90" t="s">
        <v>306</v>
      </c>
      <c r="L5" s="91"/>
      <c r="M5" s="90" t="s">
        <v>6</v>
      </c>
      <c r="N5" s="91"/>
      <c r="O5" s="90" t="s">
        <v>7</v>
      </c>
      <c r="P5" s="91"/>
      <c r="Q5" s="90" t="s">
        <v>8</v>
      </c>
      <c r="R5" s="91"/>
      <c r="S5" s="90" t="s">
        <v>9</v>
      </c>
      <c r="T5" s="91"/>
      <c r="U5" s="90" t="s">
        <v>10</v>
      </c>
      <c r="V5" s="91"/>
      <c r="W5" s="90" t="s">
        <v>11</v>
      </c>
      <c r="X5" s="91"/>
      <c r="Y5" s="90" t="s">
        <v>12</v>
      </c>
      <c r="Z5" s="91"/>
      <c r="AA5" s="90" t="s">
        <v>13</v>
      </c>
      <c r="AB5" s="91"/>
      <c r="AC5" s="90" t="s">
        <v>14</v>
      </c>
      <c r="AD5" s="91"/>
      <c r="AE5" s="90" t="s">
        <v>15</v>
      </c>
      <c r="AF5" s="91"/>
      <c r="AG5" s="90" t="s">
        <v>12</v>
      </c>
      <c r="AH5" s="91"/>
      <c r="AI5" s="90" t="s">
        <v>16</v>
      </c>
      <c r="AJ5" s="91"/>
      <c r="AK5" s="99" t="s">
        <v>166</v>
      </c>
      <c r="AL5" s="100"/>
      <c r="AM5" s="99" t="s">
        <v>167</v>
      </c>
      <c r="AN5" s="100"/>
      <c r="AO5" s="99" t="s">
        <v>170</v>
      </c>
      <c r="AP5" s="100"/>
      <c r="AQ5" s="99" t="s">
        <v>171</v>
      </c>
      <c r="AR5" s="100"/>
      <c r="AS5" s="88" t="s">
        <v>172</v>
      </c>
      <c r="AU5" s="88" t="s">
        <v>173</v>
      </c>
      <c r="AW5" s="88" t="s">
        <v>174</v>
      </c>
      <c r="AY5" s="88" t="s">
        <v>178</v>
      </c>
      <c r="BA5" s="88" t="s">
        <v>175</v>
      </c>
      <c r="BC5" s="88" t="s">
        <v>176</v>
      </c>
      <c r="BE5" s="88" t="s">
        <v>177</v>
      </c>
      <c r="BG5"/>
      <c r="BH5"/>
      <c r="BI5"/>
      <c r="BJ5"/>
      <c r="BK5"/>
      <c r="BL5"/>
      <c r="BM5"/>
      <c r="BN5"/>
      <c r="BO5"/>
    </row>
    <row r="6" spans="1:67" s="88" customFormat="1" ht="12.75">
      <c r="A6" s="92" t="s">
        <v>17</v>
      </c>
      <c r="B6" s="92" t="s">
        <v>18</v>
      </c>
      <c r="C6" s="93" t="s">
        <v>296</v>
      </c>
      <c r="D6" s="94"/>
      <c r="E6" s="95" t="s">
        <v>19</v>
      </c>
      <c r="F6" s="94"/>
      <c r="G6" s="96" t="s">
        <v>20</v>
      </c>
      <c r="H6" s="96" t="s">
        <v>21</v>
      </c>
      <c r="I6" s="96" t="s">
        <v>20</v>
      </c>
      <c r="J6" s="88" t="s">
        <v>21</v>
      </c>
      <c r="K6" s="96" t="s">
        <v>20</v>
      </c>
      <c r="L6" s="96" t="s">
        <v>21</v>
      </c>
      <c r="M6" s="95" t="s">
        <v>22</v>
      </c>
      <c r="N6" s="94"/>
      <c r="O6" s="96" t="s">
        <v>20</v>
      </c>
      <c r="P6" s="96" t="s">
        <v>21</v>
      </c>
      <c r="Q6" s="96" t="s">
        <v>20</v>
      </c>
      <c r="R6" s="96" t="s">
        <v>21</v>
      </c>
      <c r="S6" s="96" t="s">
        <v>20</v>
      </c>
      <c r="T6" s="96" t="s">
        <v>21</v>
      </c>
      <c r="U6" s="96" t="s">
        <v>20</v>
      </c>
      <c r="V6" s="96" t="s">
        <v>21</v>
      </c>
      <c r="W6" s="96" t="s">
        <v>20</v>
      </c>
      <c r="X6" s="96" t="s">
        <v>21</v>
      </c>
      <c r="Y6" s="95" t="s">
        <v>331</v>
      </c>
      <c r="Z6" s="94"/>
      <c r="AA6" s="96" t="s">
        <v>20</v>
      </c>
      <c r="AB6" s="96" t="s">
        <v>21</v>
      </c>
      <c r="AC6" s="96" t="s">
        <v>20</v>
      </c>
      <c r="AD6" s="96" t="s">
        <v>21</v>
      </c>
      <c r="AE6" s="96" t="s">
        <v>20</v>
      </c>
      <c r="AF6" s="96" t="s">
        <v>21</v>
      </c>
      <c r="AG6" s="95" t="s">
        <v>23</v>
      </c>
      <c r="AH6" s="94"/>
      <c r="AI6" s="96" t="s">
        <v>20</v>
      </c>
      <c r="AJ6" s="96" t="s">
        <v>21</v>
      </c>
      <c r="AK6" s="85" t="s">
        <v>168</v>
      </c>
      <c r="AL6" s="85" t="s">
        <v>169</v>
      </c>
      <c r="AM6" s="99" t="s">
        <v>168</v>
      </c>
      <c r="AN6" s="100" t="s">
        <v>169</v>
      </c>
      <c r="AO6" s="99" t="s">
        <v>168</v>
      </c>
      <c r="AP6" s="100" t="s">
        <v>169</v>
      </c>
      <c r="AQ6" s="99" t="s">
        <v>168</v>
      </c>
      <c r="AR6" s="100" t="s">
        <v>169</v>
      </c>
      <c r="AS6" s="85" t="s">
        <v>168</v>
      </c>
      <c r="AT6" s="85" t="s">
        <v>169</v>
      </c>
      <c r="AU6" s="99" t="s">
        <v>168</v>
      </c>
      <c r="AV6" s="100" t="s">
        <v>169</v>
      </c>
      <c r="AW6" s="99" t="s">
        <v>168</v>
      </c>
      <c r="AX6" s="100" t="s">
        <v>169</v>
      </c>
      <c r="AY6" s="99" t="s">
        <v>168</v>
      </c>
      <c r="AZ6" s="100" t="s">
        <v>169</v>
      </c>
      <c r="BA6" s="85" t="s">
        <v>168</v>
      </c>
      <c r="BB6" s="85" t="s">
        <v>169</v>
      </c>
      <c r="BC6" s="99" t="s">
        <v>168</v>
      </c>
      <c r="BD6" s="100" t="s">
        <v>169</v>
      </c>
      <c r="BE6" s="99" t="s">
        <v>168</v>
      </c>
      <c r="BF6" s="100" t="s">
        <v>169</v>
      </c>
      <c r="BG6"/>
      <c r="BH6"/>
      <c r="BI6"/>
      <c r="BJ6"/>
      <c r="BK6"/>
      <c r="BL6"/>
      <c r="BM6"/>
      <c r="BN6"/>
      <c r="BO6"/>
    </row>
    <row r="7" spans="1:36" ht="12.75">
      <c r="A7" s="20" t="s">
        <v>24</v>
      </c>
      <c r="B7" s="47"/>
      <c r="C7" s="48"/>
      <c r="D7" s="49"/>
      <c r="E7" s="48"/>
      <c r="F7" s="49"/>
      <c r="G7" s="48"/>
      <c r="H7" s="49"/>
      <c r="I7" s="48"/>
      <c r="J7" s="49"/>
      <c r="K7" s="48"/>
      <c r="L7" s="49"/>
      <c r="M7" s="48"/>
      <c r="N7" s="49"/>
      <c r="O7" s="48"/>
      <c r="P7" s="49"/>
      <c r="Q7" s="48"/>
      <c r="R7" s="49"/>
      <c r="S7" s="48"/>
      <c r="T7" s="49"/>
      <c r="U7" s="48"/>
      <c r="V7" s="49"/>
      <c r="W7" s="48"/>
      <c r="X7" s="49"/>
      <c r="Y7" s="48"/>
      <c r="Z7" s="49"/>
      <c r="AA7" s="48"/>
      <c r="AB7" s="49"/>
      <c r="AC7" s="48"/>
      <c r="AD7" s="49"/>
      <c r="AE7" s="48"/>
      <c r="AF7" s="49"/>
      <c r="AG7" s="48"/>
      <c r="AH7" s="49"/>
      <c r="AI7" s="48"/>
      <c r="AJ7" s="49"/>
    </row>
    <row r="8" spans="1:67" s="108" customFormat="1" ht="12.75">
      <c r="A8" s="185">
        <v>1</v>
      </c>
      <c r="B8" s="185" t="s">
        <v>25</v>
      </c>
      <c r="C8" s="157"/>
      <c r="D8" s="157"/>
      <c r="E8" s="157">
        <v>3</v>
      </c>
      <c r="F8" s="157">
        <v>68</v>
      </c>
      <c r="G8" s="157">
        <v>3</v>
      </c>
      <c r="H8" s="157">
        <v>67</v>
      </c>
      <c r="I8" s="157">
        <v>2</v>
      </c>
      <c r="J8" s="157">
        <v>52</v>
      </c>
      <c r="K8" s="157">
        <v>2</v>
      </c>
      <c r="L8" s="157">
        <v>38</v>
      </c>
      <c r="M8" s="157">
        <f>K8+I8+G8+E8+C8</f>
        <v>10</v>
      </c>
      <c r="N8" s="157">
        <f>L8+J8+H8+F8+D8</f>
        <v>225</v>
      </c>
      <c r="O8" s="157">
        <v>3</v>
      </c>
      <c r="P8" s="157">
        <v>71</v>
      </c>
      <c r="Q8" s="157">
        <v>3</v>
      </c>
      <c r="R8" s="157">
        <v>66</v>
      </c>
      <c r="S8" s="157">
        <v>2</v>
      </c>
      <c r="T8" s="157">
        <v>51</v>
      </c>
      <c r="U8" s="157">
        <v>3</v>
      </c>
      <c r="V8" s="157">
        <v>69</v>
      </c>
      <c r="W8" s="157">
        <v>2</v>
      </c>
      <c r="X8" s="157">
        <v>48</v>
      </c>
      <c r="Y8" s="157">
        <f aca="true" t="shared" si="0" ref="Y8:Z23">O8+Q8+S8+U8+W8</f>
        <v>13</v>
      </c>
      <c r="Z8" s="157">
        <f t="shared" si="0"/>
        <v>305</v>
      </c>
      <c r="AA8" s="157">
        <v>1</v>
      </c>
      <c r="AB8" s="157">
        <v>32</v>
      </c>
      <c r="AC8" s="157">
        <v>1</v>
      </c>
      <c r="AD8" s="157">
        <v>19</v>
      </c>
      <c r="AE8" s="157"/>
      <c r="AF8" s="157"/>
      <c r="AG8" s="157">
        <f aca="true" t="shared" si="1" ref="AG8:AH23">AA8+AC8</f>
        <v>2</v>
      </c>
      <c r="AH8" s="157">
        <f t="shared" si="1"/>
        <v>51</v>
      </c>
      <c r="AI8" s="157">
        <f aca="true" t="shared" si="2" ref="AI8:AJ23">AG8+Y8+M8</f>
        <v>25</v>
      </c>
      <c r="AJ8" s="157">
        <f t="shared" si="2"/>
        <v>581</v>
      </c>
      <c r="AK8" s="108">
        <v>1</v>
      </c>
      <c r="AL8" s="108">
        <v>1</v>
      </c>
      <c r="AM8" s="108">
        <v>2.5</v>
      </c>
      <c r="AN8" s="108">
        <f>1.5+1</f>
        <v>2.5</v>
      </c>
      <c r="AO8" s="108">
        <v>1</v>
      </c>
      <c r="AP8" s="108">
        <v>1</v>
      </c>
      <c r="AS8" s="108">
        <v>1</v>
      </c>
      <c r="AT8" s="108">
        <v>1</v>
      </c>
      <c r="AU8" s="108">
        <v>1</v>
      </c>
      <c r="AV8" s="108">
        <v>1</v>
      </c>
      <c r="AW8" s="108">
        <v>1</v>
      </c>
      <c r="AX8" s="108">
        <v>1</v>
      </c>
      <c r="AY8" s="108">
        <v>0.5</v>
      </c>
      <c r="AZ8" s="108">
        <v>0.5</v>
      </c>
      <c r="BA8" s="108">
        <v>1.5</v>
      </c>
      <c r="BB8" s="108">
        <v>1.5</v>
      </c>
      <c r="BC8" s="108">
        <v>1.5</v>
      </c>
      <c r="BD8" s="108">
        <v>1.5</v>
      </c>
      <c r="BE8" s="108">
        <v>2</v>
      </c>
      <c r="BF8" s="108">
        <v>1.5</v>
      </c>
      <c r="BG8" s="103"/>
      <c r="BH8" s="103"/>
      <c r="BI8" s="186">
        <f>AJ8/AI8</f>
        <v>23.24</v>
      </c>
      <c r="BJ8" s="103"/>
      <c r="BK8" s="103"/>
      <c r="BL8" s="103"/>
      <c r="BM8" s="103"/>
      <c r="BN8" s="103"/>
      <c r="BO8" s="103"/>
    </row>
    <row r="9" spans="1:67" s="108" customFormat="1" ht="12.75">
      <c r="A9" s="185">
        <v>2</v>
      </c>
      <c r="B9" s="185" t="s">
        <v>26</v>
      </c>
      <c r="C9" s="157">
        <v>3</v>
      </c>
      <c r="D9" s="157">
        <v>84</v>
      </c>
      <c r="E9" s="157"/>
      <c r="F9" s="157"/>
      <c r="G9" s="157">
        <v>3</v>
      </c>
      <c r="H9" s="157">
        <v>85</v>
      </c>
      <c r="I9" s="157">
        <v>3</v>
      </c>
      <c r="J9" s="157">
        <v>87</v>
      </c>
      <c r="K9" s="157">
        <v>3</v>
      </c>
      <c r="L9" s="157">
        <v>77</v>
      </c>
      <c r="M9" s="157">
        <f aca="true" t="shared" si="3" ref="M9:N23">K9+I9+G9+E9+C9</f>
        <v>12</v>
      </c>
      <c r="N9" s="157">
        <f t="shared" si="3"/>
        <v>333</v>
      </c>
      <c r="O9" s="157">
        <v>3</v>
      </c>
      <c r="P9" s="157">
        <v>72</v>
      </c>
      <c r="Q9" s="157">
        <v>3</v>
      </c>
      <c r="R9" s="157">
        <v>71</v>
      </c>
      <c r="S9" s="157">
        <v>3</v>
      </c>
      <c r="T9" s="157">
        <v>73</v>
      </c>
      <c r="U9" s="157">
        <v>2</v>
      </c>
      <c r="V9" s="157">
        <v>60</v>
      </c>
      <c r="W9" s="157">
        <v>3</v>
      </c>
      <c r="X9" s="157">
        <v>71</v>
      </c>
      <c r="Y9" s="157">
        <f t="shared" si="0"/>
        <v>14</v>
      </c>
      <c r="Z9" s="157">
        <f t="shared" si="0"/>
        <v>347</v>
      </c>
      <c r="AA9" s="157">
        <v>1</v>
      </c>
      <c r="AB9" s="157">
        <v>25</v>
      </c>
      <c r="AC9" s="157">
        <v>1</v>
      </c>
      <c r="AD9" s="157">
        <v>19</v>
      </c>
      <c r="AE9" s="157"/>
      <c r="AF9" s="157"/>
      <c r="AG9" s="157">
        <f t="shared" si="1"/>
        <v>2</v>
      </c>
      <c r="AH9" s="157">
        <f t="shared" si="1"/>
        <v>44</v>
      </c>
      <c r="AI9" s="157">
        <f t="shared" si="2"/>
        <v>28</v>
      </c>
      <c r="AJ9" s="157">
        <f t="shared" si="2"/>
        <v>724</v>
      </c>
      <c r="AK9" s="108">
        <v>1</v>
      </c>
      <c r="AL9" s="108">
        <v>1</v>
      </c>
      <c r="AM9" s="108">
        <v>4</v>
      </c>
      <c r="AN9" s="108">
        <v>3</v>
      </c>
      <c r="AO9" s="108">
        <v>1</v>
      </c>
      <c r="AP9" s="108">
        <v>1</v>
      </c>
      <c r="AS9" s="108">
        <v>1</v>
      </c>
      <c r="AT9" s="108">
        <v>1</v>
      </c>
      <c r="AU9" s="108">
        <v>1</v>
      </c>
      <c r="AV9" s="108">
        <v>1</v>
      </c>
      <c r="AW9" s="108">
        <v>1</v>
      </c>
      <c r="AX9" s="108">
        <v>1</v>
      </c>
      <c r="BA9" s="108">
        <v>0.5</v>
      </c>
      <c r="BB9" s="108">
        <v>1</v>
      </c>
      <c r="BC9" s="108">
        <v>1.5</v>
      </c>
      <c r="BD9" s="108">
        <v>1.5</v>
      </c>
      <c r="BE9" s="108">
        <v>1.5</v>
      </c>
      <c r="BF9" s="108">
        <v>1.5</v>
      </c>
      <c r="BG9" s="103"/>
      <c r="BH9" s="103"/>
      <c r="BI9" s="186">
        <f aca="true" t="shared" si="4" ref="BI9:BI32">AJ9/AI9</f>
        <v>25.857142857142858</v>
      </c>
      <c r="BJ9" s="103"/>
      <c r="BK9" s="103"/>
      <c r="BL9" s="103"/>
      <c r="BM9" s="103"/>
      <c r="BN9" s="103"/>
      <c r="BO9" s="103"/>
    </row>
    <row r="10" spans="1:67" s="108" customFormat="1" ht="12.75">
      <c r="A10" s="185">
        <v>3</v>
      </c>
      <c r="B10" s="185" t="s">
        <v>27</v>
      </c>
      <c r="C10" s="157">
        <v>1</v>
      </c>
      <c r="D10" s="157">
        <v>26</v>
      </c>
      <c r="E10" s="157">
        <v>1</v>
      </c>
      <c r="F10" s="157">
        <v>27</v>
      </c>
      <c r="G10" s="157">
        <v>2</v>
      </c>
      <c r="H10" s="157">
        <v>40</v>
      </c>
      <c r="I10" s="157">
        <v>2</v>
      </c>
      <c r="J10" s="157">
        <v>42</v>
      </c>
      <c r="K10" s="157">
        <v>2</v>
      </c>
      <c r="L10" s="157">
        <v>36</v>
      </c>
      <c r="M10" s="157">
        <f t="shared" si="3"/>
        <v>8</v>
      </c>
      <c r="N10" s="157">
        <f t="shared" si="3"/>
        <v>171</v>
      </c>
      <c r="O10" s="157">
        <v>1</v>
      </c>
      <c r="P10" s="157">
        <v>31</v>
      </c>
      <c r="Q10" s="157">
        <v>1</v>
      </c>
      <c r="R10" s="157">
        <v>32</v>
      </c>
      <c r="S10" s="157">
        <v>2</v>
      </c>
      <c r="T10" s="157">
        <v>40</v>
      </c>
      <c r="U10" s="157">
        <v>2</v>
      </c>
      <c r="V10" s="157">
        <v>38</v>
      </c>
      <c r="W10" s="157">
        <v>1</v>
      </c>
      <c r="X10" s="157">
        <v>24</v>
      </c>
      <c r="Y10" s="157">
        <f t="shared" si="0"/>
        <v>7</v>
      </c>
      <c r="Z10" s="157">
        <f t="shared" si="0"/>
        <v>165</v>
      </c>
      <c r="AA10" s="157">
        <v>1</v>
      </c>
      <c r="AB10" s="157">
        <v>16</v>
      </c>
      <c r="AC10" s="157">
        <v>1</v>
      </c>
      <c r="AD10" s="157">
        <v>19</v>
      </c>
      <c r="AE10" s="157"/>
      <c r="AF10" s="157"/>
      <c r="AG10" s="157">
        <f t="shared" si="1"/>
        <v>2</v>
      </c>
      <c r="AH10" s="157">
        <f t="shared" si="1"/>
        <v>35</v>
      </c>
      <c r="AI10" s="157">
        <f t="shared" si="2"/>
        <v>17</v>
      </c>
      <c r="AJ10" s="157">
        <f t="shared" si="2"/>
        <v>371</v>
      </c>
      <c r="AK10" s="108">
        <v>1</v>
      </c>
      <c r="AL10" s="108">
        <v>1</v>
      </c>
      <c r="AM10" s="108">
        <v>1.5</v>
      </c>
      <c r="AN10" s="108">
        <f>1.5</f>
        <v>1.5</v>
      </c>
      <c r="AQ10" s="108">
        <v>1</v>
      </c>
      <c r="AR10" s="108">
        <v>1</v>
      </c>
      <c r="AS10" s="108">
        <v>1</v>
      </c>
      <c r="AT10" s="108">
        <v>1</v>
      </c>
      <c r="AU10" s="108">
        <v>1</v>
      </c>
      <c r="AV10" s="108">
        <v>1</v>
      </c>
      <c r="AW10" s="108">
        <v>1</v>
      </c>
      <c r="AX10" s="108">
        <v>1</v>
      </c>
      <c r="BA10" s="108">
        <v>0.5</v>
      </c>
      <c r="BB10" s="108">
        <v>0.5</v>
      </c>
      <c r="BC10" s="108">
        <v>1</v>
      </c>
      <c r="BD10" s="108">
        <v>1</v>
      </c>
      <c r="BE10" s="108">
        <v>1.5</v>
      </c>
      <c r="BF10" s="108">
        <v>1</v>
      </c>
      <c r="BG10" s="103" t="s">
        <v>179</v>
      </c>
      <c r="BH10" s="103"/>
      <c r="BI10" s="186">
        <f t="shared" si="4"/>
        <v>21.823529411764707</v>
      </c>
      <c r="BJ10" s="103"/>
      <c r="BK10" s="103"/>
      <c r="BL10" s="103"/>
      <c r="BM10" s="103"/>
      <c r="BN10" s="103"/>
      <c r="BO10" s="103"/>
    </row>
    <row r="11" spans="1:67" s="108" customFormat="1" ht="12.75">
      <c r="A11" s="185">
        <v>4</v>
      </c>
      <c r="B11" s="185" t="s">
        <v>297</v>
      </c>
      <c r="C11" s="157"/>
      <c r="D11" s="157"/>
      <c r="E11" s="157">
        <v>1</v>
      </c>
      <c r="F11" s="157">
        <v>24</v>
      </c>
      <c r="G11" s="157">
        <v>1</v>
      </c>
      <c r="H11" s="157">
        <v>25</v>
      </c>
      <c r="I11" s="157">
        <v>1</v>
      </c>
      <c r="J11" s="157">
        <v>24</v>
      </c>
      <c r="K11" s="157">
        <v>1</v>
      </c>
      <c r="L11" s="157">
        <v>26</v>
      </c>
      <c r="M11" s="157">
        <f t="shared" si="3"/>
        <v>4</v>
      </c>
      <c r="N11" s="157">
        <f t="shared" si="3"/>
        <v>99</v>
      </c>
      <c r="O11" s="157">
        <v>1</v>
      </c>
      <c r="P11" s="157">
        <v>24</v>
      </c>
      <c r="Q11" s="157">
        <v>1</v>
      </c>
      <c r="R11" s="157">
        <v>24</v>
      </c>
      <c r="S11" s="157">
        <v>1</v>
      </c>
      <c r="T11" s="157">
        <v>26</v>
      </c>
      <c r="U11" s="157">
        <v>1</v>
      </c>
      <c r="V11" s="157">
        <v>25</v>
      </c>
      <c r="W11" s="157">
        <v>1</v>
      </c>
      <c r="X11" s="157">
        <v>32</v>
      </c>
      <c r="Y11" s="157">
        <f t="shared" si="0"/>
        <v>5</v>
      </c>
      <c r="Z11" s="157">
        <f t="shared" si="0"/>
        <v>131</v>
      </c>
      <c r="AA11" s="211">
        <v>1</v>
      </c>
      <c r="AB11" s="211">
        <v>20</v>
      </c>
      <c r="AC11" s="157">
        <v>1</v>
      </c>
      <c r="AD11" s="157">
        <v>11</v>
      </c>
      <c r="AE11" s="157"/>
      <c r="AF11" s="157"/>
      <c r="AG11" s="157">
        <f t="shared" si="1"/>
        <v>2</v>
      </c>
      <c r="AH11" s="157">
        <f t="shared" si="1"/>
        <v>31</v>
      </c>
      <c r="AI11" s="157">
        <f t="shared" si="2"/>
        <v>11</v>
      </c>
      <c r="AJ11" s="157">
        <f t="shared" si="2"/>
        <v>261</v>
      </c>
      <c r="AK11" s="108">
        <v>1</v>
      </c>
      <c r="AL11" s="108">
        <v>1</v>
      </c>
      <c r="AM11" s="108">
        <v>1.5</v>
      </c>
      <c r="AN11" s="108">
        <v>1.5</v>
      </c>
      <c r="AQ11" s="108">
        <v>1</v>
      </c>
      <c r="AR11" s="108">
        <v>1</v>
      </c>
      <c r="AS11" s="108">
        <v>1</v>
      </c>
      <c r="AT11" s="108">
        <v>1</v>
      </c>
      <c r="AU11" s="108">
        <v>1</v>
      </c>
      <c r="AV11" s="108">
        <v>1</v>
      </c>
      <c r="AW11" s="108">
        <v>1</v>
      </c>
      <c r="AX11" s="108">
        <v>1</v>
      </c>
      <c r="BA11" s="108">
        <v>1</v>
      </c>
      <c r="BB11" s="108">
        <v>0.5</v>
      </c>
      <c r="BC11" s="108">
        <v>1</v>
      </c>
      <c r="BD11" s="108">
        <v>1</v>
      </c>
      <c r="BE11" s="108">
        <v>1.5</v>
      </c>
      <c r="BF11" s="108">
        <v>1</v>
      </c>
      <c r="BG11" s="103" t="s">
        <v>180</v>
      </c>
      <c r="BH11" s="103"/>
      <c r="BI11" s="186">
        <f t="shared" si="4"/>
        <v>23.727272727272727</v>
      </c>
      <c r="BJ11" s="103"/>
      <c r="BK11" s="103"/>
      <c r="BL11" s="103"/>
      <c r="BM11" s="103"/>
      <c r="BN11" s="103"/>
      <c r="BO11" s="103"/>
    </row>
    <row r="12" spans="2:67" s="108" customFormat="1" ht="12" customHeight="1">
      <c r="B12" s="108" t="s">
        <v>196</v>
      </c>
      <c r="C12" s="157"/>
      <c r="D12" s="157"/>
      <c r="E12" s="157"/>
      <c r="F12" s="157"/>
      <c r="G12" s="157"/>
      <c r="H12" s="157"/>
      <c r="I12" s="211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>
        <v>1</v>
      </c>
      <c r="X12" s="157">
        <v>16</v>
      </c>
      <c r="Y12" s="157">
        <f>O12+Q12+S12+U12+W12</f>
        <v>1</v>
      </c>
      <c r="Z12" s="157">
        <f>P12+R12+T12+V12+X12</f>
        <v>16</v>
      </c>
      <c r="AA12" s="157">
        <v>1</v>
      </c>
      <c r="AB12" s="157">
        <v>18</v>
      </c>
      <c r="AC12" s="157">
        <v>1</v>
      </c>
      <c r="AD12" s="157">
        <v>17</v>
      </c>
      <c r="AE12" s="157">
        <v>1</v>
      </c>
      <c r="AF12" s="157">
        <v>18</v>
      </c>
      <c r="AG12" s="157">
        <f>AA12+AC12+AE12</f>
        <v>3</v>
      </c>
      <c r="AH12" s="157">
        <f>AB12+AD12+AF12</f>
        <v>53</v>
      </c>
      <c r="AI12" s="157">
        <f>AG12+Y12+M12</f>
        <v>4</v>
      </c>
      <c r="AJ12" s="157">
        <f>AH12+Z12+N12</f>
        <v>69</v>
      </c>
      <c r="AK12" s="108">
        <v>1</v>
      </c>
      <c r="AL12" s="108">
        <v>1</v>
      </c>
      <c r="BG12" s="103"/>
      <c r="BH12" s="103"/>
      <c r="BI12" s="186">
        <f>AJ12/AI12</f>
        <v>17.25</v>
      </c>
      <c r="BJ12" s="103"/>
      <c r="BK12" s="103"/>
      <c r="BL12" s="103"/>
      <c r="BM12" s="103"/>
      <c r="BN12" s="103"/>
      <c r="BO12" s="103"/>
    </row>
    <row r="13" spans="1:61" s="103" customFormat="1" ht="12" customHeight="1">
      <c r="A13" s="87"/>
      <c r="B13" s="87" t="s">
        <v>197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>
        <f>O13+Q13+S13+U13+W13</f>
        <v>0</v>
      </c>
      <c r="Z13" s="157">
        <f>P13+R13+T13+V13+X13</f>
        <v>0</v>
      </c>
      <c r="AA13" s="157"/>
      <c r="AB13" s="157"/>
      <c r="AC13" s="157"/>
      <c r="AD13" s="157"/>
      <c r="AE13" s="157"/>
      <c r="AF13" s="157"/>
      <c r="AG13" s="157">
        <f>AA13+AC13+AE13</f>
        <v>0</v>
      </c>
      <c r="AH13" s="157">
        <f>AB13+AD13+AF13</f>
        <v>0</v>
      </c>
      <c r="AI13" s="157">
        <f>AG13+Y13+M13</f>
        <v>0</v>
      </c>
      <c r="AJ13" s="157">
        <f>AH13+Z13+N13</f>
        <v>0</v>
      </c>
      <c r="BI13" s="186"/>
    </row>
    <row r="14" spans="1:67" s="108" customFormat="1" ht="12.75">
      <c r="A14" s="185">
        <v>5</v>
      </c>
      <c r="B14" s="185" t="s">
        <v>28</v>
      </c>
      <c r="C14" s="157"/>
      <c r="D14" s="157"/>
      <c r="E14" s="157">
        <v>2</v>
      </c>
      <c r="F14" s="157">
        <v>41</v>
      </c>
      <c r="G14" s="157">
        <v>2</v>
      </c>
      <c r="H14" s="157">
        <v>45</v>
      </c>
      <c r="I14" s="157">
        <v>2</v>
      </c>
      <c r="J14" s="157">
        <v>42</v>
      </c>
      <c r="K14" s="157">
        <v>2</v>
      </c>
      <c r="L14" s="157">
        <v>38</v>
      </c>
      <c r="M14" s="157">
        <f t="shared" si="3"/>
        <v>8</v>
      </c>
      <c r="N14" s="157">
        <f t="shared" si="3"/>
        <v>166</v>
      </c>
      <c r="O14" s="157">
        <v>2</v>
      </c>
      <c r="P14" s="157">
        <v>58</v>
      </c>
      <c r="Q14" s="157">
        <v>2</v>
      </c>
      <c r="R14" s="157">
        <v>57</v>
      </c>
      <c r="S14" s="157">
        <v>2</v>
      </c>
      <c r="T14" s="157">
        <v>53</v>
      </c>
      <c r="U14" s="157">
        <v>2</v>
      </c>
      <c r="V14" s="157">
        <v>50</v>
      </c>
      <c r="W14" s="211">
        <v>2</v>
      </c>
      <c r="X14" s="211">
        <v>67</v>
      </c>
      <c r="Y14" s="157">
        <f t="shared" si="0"/>
        <v>10</v>
      </c>
      <c r="Z14" s="157">
        <f t="shared" si="0"/>
        <v>285</v>
      </c>
      <c r="AA14" s="157">
        <v>1</v>
      </c>
      <c r="AB14" s="157">
        <v>20</v>
      </c>
      <c r="AC14" s="157">
        <v>1</v>
      </c>
      <c r="AD14" s="157">
        <v>24</v>
      </c>
      <c r="AE14" s="157"/>
      <c r="AF14" s="157"/>
      <c r="AG14" s="157">
        <f t="shared" si="1"/>
        <v>2</v>
      </c>
      <c r="AH14" s="157">
        <f t="shared" si="1"/>
        <v>44</v>
      </c>
      <c r="AI14" s="157">
        <f t="shared" si="2"/>
        <v>20</v>
      </c>
      <c r="AJ14" s="157">
        <f t="shared" si="2"/>
        <v>495</v>
      </c>
      <c r="AK14" s="108">
        <v>1</v>
      </c>
      <c r="AL14" s="108">
        <v>1</v>
      </c>
      <c r="AM14" s="108">
        <v>2.5</v>
      </c>
      <c r="AN14" s="108">
        <v>2</v>
      </c>
      <c r="AO14" s="108">
        <v>1</v>
      </c>
      <c r="AP14" s="108">
        <v>1</v>
      </c>
      <c r="AS14" s="108">
        <v>1</v>
      </c>
      <c r="AT14" s="108">
        <v>1</v>
      </c>
      <c r="AU14" s="108">
        <v>1</v>
      </c>
      <c r="AV14" s="108">
        <v>1</v>
      </c>
      <c r="AW14" s="108">
        <v>1</v>
      </c>
      <c r="AX14" s="108">
        <v>1</v>
      </c>
      <c r="AY14" s="108">
        <v>0.5</v>
      </c>
      <c r="BA14" s="108">
        <v>1.5</v>
      </c>
      <c r="BB14" s="108">
        <v>1.5</v>
      </c>
      <c r="BC14" s="108">
        <v>1.5</v>
      </c>
      <c r="BD14" s="108">
        <v>1.5</v>
      </c>
      <c r="BE14" s="108">
        <v>2</v>
      </c>
      <c r="BF14" s="108">
        <v>1.5</v>
      </c>
      <c r="BG14" s="103" t="s">
        <v>181</v>
      </c>
      <c r="BH14" s="103"/>
      <c r="BI14" s="186">
        <f t="shared" si="4"/>
        <v>24.75</v>
      </c>
      <c r="BJ14" s="103"/>
      <c r="BK14" s="103"/>
      <c r="BL14" s="103"/>
      <c r="BM14" s="103"/>
      <c r="BN14" s="103"/>
      <c r="BO14" s="103"/>
    </row>
    <row r="15" spans="1:67" s="108" customFormat="1" ht="12.75">
      <c r="A15" s="185">
        <v>6</v>
      </c>
      <c r="B15" s="185" t="s">
        <v>318</v>
      </c>
      <c r="C15" s="157"/>
      <c r="D15" s="157"/>
      <c r="E15" s="157">
        <v>4</v>
      </c>
      <c r="F15" s="157">
        <v>88</v>
      </c>
      <c r="G15" s="157">
        <v>4</v>
      </c>
      <c r="H15" s="157">
        <v>96</v>
      </c>
      <c r="I15" s="157">
        <v>3</v>
      </c>
      <c r="J15" s="157">
        <v>64</v>
      </c>
      <c r="K15" s="157">
        <v>3</v>
      </c>
      <c r="L15" s="157">
        <v>60</v>
      </c>
      <c r="M15" s="157">
        <f t="shared" si="3"/>
        <v>14</v>
      </c>
      <c r="N15" s="157">
        <f t="shared" si="3"/>
        <v>308</v>
      </c>
      <c r="O15" s="157">
        <v>3</v>
      </c>
      <c r="P15" s="157">
        <v>74</v>
      </c>
      <c r="Q15" s="157">
        <v>2</v>
      </c>
      <c r="R15" s="157">
        <v>48</v>
      </c>
      <c r="S15" s="157">
        <v>2</v>
      </c>
      <c r="T15" s="157">
        <v>59</v>
      </c>
      <c r="U15" s="157">
        <v>3</v>
      </c>
      <c r="V15" s="157">
        <v>79</v>
      </c>
      <c r="W15" s="157">
        <v>3</v>
      </c>
      <c r="X15" s="157">
        <v>70</v>
      </c>
      <c r="Y15" s="157">
        <f t="shared" si="0"/>
        <v>13</v>
      </c>
      <c r="Z15" s="157">
        <f t="shared" si="0"/>
        <v>330</v>
      </c>
      <c r="AA15" s="157">
        <v>1</v>
      </c>
      <c r="AB15" s="157">
        <v>23</v>
      </c>
      <c r="AC15" s="157">
        <v>1</v>
      </c>
      <c r="AD15" s="157">
        <v>17</v>
      </c>
      <c r="AE15" s="157"/>
      <c r="AF15" s="157"/>
      <c r="AG15" s="157">
        <f t="shared" si="1"/>
        <v>2</v>
      </c>
      <c r="AH15" s="157">
        <f t="shared" si="1"/>
        <v>40</v>
      </c>
      <c r="AI15" s="157">
        <f t="shared" si="2"/>
        <v>29</v>
      </c>
      <c r="AJ15" s="157">
        <f t="shared" si="2"/>
        <v>678</v>
      </c>
      <c r="AK15" s="108">
        <v>1</v>
      </c>
      <c r="AL15" s="108">
        <v>1</v>
      </c>
      <c r="AM15" s="108">
        <v>5</v>
      </c>
      <c r="AN15" s="108">
        <v>4</v>
      </c>
      <c r="AO15" s="108">
        <v>1</v>
      </c>
      <c r="AP15" s="108">
        <v>1</v>
      </c>
      <c r="AS15" s="108">
        <v>2</v>
      </c>
      <c r="AT15" s="108">
        <v>1</v>
      </c>
      <c r="AU15" s="108">
        <v>1</v>
      </c>
      <c r="AV15" s="108">
        <v>1</v>
      </c>
      <c r="AW15" s="108">
        <v>1</v>
      </c>
      <c r="AX15" s="108">
        <v>1</v>
      </c>
      <c r="AY15" s="108">
        <v>1</v>
      </c>
      <c r="AZ15" s="108">
        <v>1</v>
      </c>
      <c r="BA15" s="108">
        <v>2.5</v>
      </c>
      <c r="BB15" s="108">
        <v>2</v>
      </c>
      <c r="BC15" s="108">
        <v>2</v>
      </c>
      <c r="BD15" s="108">
        <v>2</v>
      </c>
      <c r="BE15" s="108">
        <v>2</v>
      </c>
      <c r="BF15" s="108">
        <v>2</v>
      </c>
      <c r="BG15" s="103" t="s">
        <v>182</v>
      </c>
      <c r="BH15" s="103"/>
      <c r="BI15" s="186">
        <f t="shared" si="4"/>
        <v>23.379310344827587</v>
      </c>
      <c r="BJ15" s="103"/>
      <c r="BK15" s="103"/>
      <c r="BL15" s="103"/>
      <c r="BM15" s="103"/>
      <c r="BN15" s="103"/>
      <c r="BO15" s="103"/>
    </row>
    <row r="16" spans="1:67" s="108" customFormat="1" ht="12.75">
      <c r="A16" s="185">
        <v>7</v>
      </c>
      <c r="B16" s="185" t="s">
        <v>29</v>
      </c>
      <c r="C16" s="157"/>
      <c r="D16" s="157"/>
      <c r="E16" s="157">
        <v>3</v>
      </c>
      <c r="F16" s="157">
        <v>71</v>
      </c>
      <c r="G16" s="157">
        <v>3</v>
      </c>
      <c r="H16" s="157">
        <v>65</v>
      </c>
      <c r="I16" s="211">
        <v>2</v>
      </c>
      <c r="J16" s="211">
        <v>54</v>
      </c>
      <c r="K16" s="211">
        <v>2</v>
      </c>
      <c r="L16" s="211">
        <v>55</v>
      </c>
      <c r="M16" s="157">
        <f t="shared" si="3"/>
        <v>10</v>
      </c>
      <c r="N16" s="157">
        <f t="shared" si="3"/>
        <v>245</v>
      </c>
      <c r="O16" s="157">
        <v>2</v>
      </c>
      <c r="P16" s="157">
        <v>58</v>
      </c>
      <c r="Q16" s="211">
        <v>2</v>
      </c>
      <c r="R16" s="211">
        <v>55</v>
      </c>
      <c r="S16" s="157">
        <v>3</v>
      </c>
      <c r="T16" s="157">
        <v>67</v>
      </c>
      <c r="U16" s="157">
        <v>2</v>
      </c>
      <c r="V16" s="157">
        <v>56</v>
      </c>
      <c r="W16" s="211">
        <v>2</v>
      </c>
      <c r="X16" s="211">
        <v>52</v>
      </c>
      <c r="Y16" s="157">
        <f t="shared" si="0"/>
        <v>11</v>
      </c>
      <c r="Z16" s="157">
        <f t="shared" si="0"/>
        <v>288</v>
      </c>
      <c r="AA16" s="157">
        <v>2</v>
      </c>
      <c r="AB16" s="157">
        <v>39</v>
      </c>
      <c r="AC16" s="157">
        <v>1</v>
      </c>
      <c r="AD16" s="157">
        <v>28</v>
      </c>
      <c r="AE16" s="157"/>
      <c r="AF16" s="157"/>
      <c r="AG16" s="157">
        <f t="shared" si="1"/>
        <v>3</v>
      </c>
      <c r="AH16" s="157">
        <f t="shared" si="1"/>
        <v>67</v>
      </c>
      <c r="AI16" s="157">
        <f t="shared" si="2"/>
        <v>24</v>
      </c>
      <c r="AJ16" s="211">
        <f t="shared" si="2"/>
        <v>600</v>
      </c>
      <c r="AK16" s="108">
        <v>1</v>
      </c>
      <c r="AL16" s="108">
        <v>1</v>
      </c>
      <c r="BG16" s="103"/>
      <c r="BH16" s="103"/>
      <c r="BI16" s="186">
        <f t="shared" si="4"/>
        <v>25</v>
      </c>
      <c r="BJ16" s="103"/>
      <c r="BK16" s="103"/>
      <c r="BL16" s="103"/>
      <c r="BM16" s="103"/>
      <c r="BN16" s="103"/>
      <c r="BO16" s="103"/>
    </row>
    <row r="17" spans="1:67" s="108" customFormat="1" ht="12.75">
      <c r="A17" s="185">
        <v>8</v>
      </c>
      <c r="B17" s="185" t="s">
        <v>307</v>
      </c>
      <c r="C17" s="211"/>
      <c r="D17" s="211"/>
      <c r="E17" s="157">
        <v>3</v>
      </c>
      <c r="F17" s="157">
        <v>85</v>
      </c>
      <c r="G17" s="157">
        <v>3</v>
      </c>
      <c r="H17" s="157">
        <v>73</v>
      </c>
      <c r="I17" s="157">
        <v>3</v>
      </c>
      <c r="J17" s="157">
        <v>69</v>
      </c>
      <c r="K17" s="211">
        <v>3</v>
      </c>
      <c r="L17" s="211">
        <v>67</v>
      </c>
      <c r="M17" s="157">
        <f t="shared" si="3"/>
        <v>12</v>
      </c>
      <c r="N17" s="157">
        <f t="shared" si="3"/>
        <v>294</v>
      </c>
      <c r="O17" s="157">
        <v>3</v>
      </c>
      <c r="P17" s="157">
        <v>61</v>
      </c>
      <c r="Q17" s="157">
        <v>3</v>
      </c>
      <c r="R17" s="157">
        <v>70</v>
      </c>
      <c r="S17" s="157">
        <v>3</v>
      </c>
      <c r="T17" s="157">
        <v>75</v>
      </c>
      <c r="U17" s="157">
        <v>3</v>
      </c>
      <c r="V17" s="157">
        <v>76</v>
      </c>
      <c r="W17" s="157">
        <v>3</v>
      </c>
      <c r="X17" s="157">
        <v>75</v>
      </c>
      <c r="Y17" s="157">
        <f t="shared" si="0"/>
        <v>15</v>
      </c>
      <c r="Z17" s="157">
        <f t="shared" si="0"/>
        <v>357</v>
      </c>
      <c r="AA17" s="157">
        <v>1</v>
      </c>
      <c r="AB17" s="157">
        <v>17</v>
      </c>
      <c r="AC17" s="157">
        <v>1</v>
      </c>
      <c r="AD17" s="157">
        <v>26</v>
      </c>
      <c r="AE17" s="157"/>
      <c r="AF17" s="157"/>
      <c r="AG17" s="157">
        <f t="shared" si="1"/>
        <v>2</v>
      </c>
      <c r="AH17" s="157">
        <f t="shared" si="1"/>
        <v>43</v>
      </c>
      <c r="AI17" s="157">
        <f t="shared" si="2"/>
        <v>29</v>
      </c>
      <c r="AJ17" s="157">
        <f t="shared" si="2"/>
        <v>694</v>
      </c>
      <c r="AK17" s="108">
        <v>1</v>
      </c>
      <c r="AL17" s="108">
        <v>1</v>
      </c>
      <c r="AM17" s="108">
        <v>3.5</v>
      </c>
      <c r="AN17" s="108">
        <f>3-0.5</f>
        <v>2.5</v>
      </c>
      <c r="AO17" s="108">
        <v>1</v>
      </c>
      <c r="AP17" s="108">
        <v>1</v>
      </c>
      <c r="AS17" s="108">
        <v>1</v>
      </c>
      <c r="AT17" s="108">
        <v>1</v>
      </c>
      <c r="AU17" s="108">
        <v>1</v>
      </c>
      <c r="AV17" s="108">
        <v>1</v>
      </c>
      <c r="AW17" s="108">
        <v>1</v>
      </c>
      <c r="AX17" s="108">
        <v>1</v>
      </c>
      <c r="AY17" s="108">
        <v>1</v>
      </c>
      <c r="AZ17" s="108">
        <v>0.5</v>
      </c>
      <c r="BA17" s="108">
        <v>2</v>
      </c>
      <c r="BB17" s="108">
        <v>2</v>
      </c>
      <c r="BC17" s="108">
        <v>2</v>
      </c>
      <c r="BD17" s="108">
        <v>1.5</v>
      </c>
      <c r="BE17" s="108">
        <v>2</v>
      </c>
      <c r="BF17" s="108">
        <v>2</v>
      </c>
      <c r="BG17" s="103" t="s">
        <v>183</v>
      </c>
      <c r="BH17" s="103"/>
      <c r="BI17" s="186">
        <f t="shared" si="4"/>
        <v>23.93103448275862</v>
      </c>
      <c r="BJ17" s="103"/>
      <c r="BK17" s="103"/>
      <c r="BL17" s="103"/>
      <c r="BM17" s="103"/>
      <c r="BN17" s="103"/>
      <c r="BO17" s="103"/>
    </row>
    <row r="18" spans="1:67" s="108" customFormat="1" ht="12.75">
      <c r="A18" s="185">
        <v>9</v>
      </c>
      <c r="B18" s="185" t="s">
        <v>30</v>
      </c>
      <c r="C18" s="157"/>
      <c r="D18" s="157"/>
      <c r="E18" s="157">
        <v>2</v>
      </c>
      <c r="F18" s="157">
        <v>40</v>
      </c>
      <c r="G18" s="157">
        <v>1</v>
      </c>
      <c r="H18" s="157">
        <v>27</v>
      </c>
      <c r="I18" s="157">
        <v>1</v>
      </c>
      <c r="J18" s="157">
        <v>35</v>
      </c>
      <c r="K18" s="157">
        <v>1</v>
      </c>
      <c r="L18" s="157">
        <v>28</v>
      </c>
      <c r="M18" s="157">
        <f t="shared" si="3"/>
        <v>5</v>
      </c>
      <c r="N18" s="157">
        <f t="shared" si="3"/>
        <v>130</v>
      </c>
      <c r="O18" s="157">
        <v>1</v>
      </c>
      <c r="P18" s="157">
        <v>25</v>
      </c>
      <c r="Q18" s="157">
        <v>2</v>
      </c>
      <c r="R18" s="157">
        <v>35</v>
      </c>
      <c r="S18" s="157">
        <v>2</v>
      </c>
      <c r="T18" s="157">
        <v>36</v>
      </c>
      <c r="U18" s="157">
        <v>1</v>
      </c>
      <c r="V18" s="157">
        <v>33</v>
      </c>
      <c r="W18" s="157">
        <v>2</v>
      </c>
      <c r="X18" s="157">
        <v>36</v>
      </c>
      <c r="Y18" s="157">
        <f t="shared" si="0"/>
        <v>8</v>
      </c>
      <c r="Z18" s="157">
        <f t="shared" si="0"/>
        <v>165</v>
      </c>
      <c r="AA18" s="157">
        <v>1</v>
      </c>
      <c r="AB18" s="157">
        <v>17</v>
      </c>
      <c r="AC18" s="157">
        <v>1</v>
      </c>
      <c r="AD18" s="157">
        <v>13</v>
      </c>
      <c r="AE18" s="157"/>
      <c r="AF18" s="157"/>
      <c r="AG18" s="157">
        <f t="shared" si="1"/>
        <v>2</v>
      </c>
      <c r="AH18" s="157">
        <f t="shared" si="1"/>
        <v>30</v>
      </c>
      <c r="AI18" s="157">
        <f t="shared" si="2"/>
        <v>15</v>
      </c>
      <c r="AJ18" s="157">
        <f t="shared" si="2"/>
        <v>325</v>
      </c>
      <c r="AK18" s="108">
        <v>1</v>
      </c>
      <c r="AL18" s="108">
        <v>1</v>
      </c>
      <c r="AM18" s="108">
        <v>1.5</v>
      </c>
      <c r="AN18" s="108">
        <v>1.5</v>
      </c>
      <c r="AQ18" s="108">
        <v>1</v>
      </c>
      <c r="AR18" s="108">
        <v>1</v>
      </c>
      <c r="AS18" s="108">
        <v>1</v>
      </c>
      <c r="AT18" s="108">
        <v>1</v>
      </c>
      <c r="AU18" s="108">
        <v>1</v>
      </c>
      <c r="AV18" s="108">
        <v>1</v>
      </c>
      <c r="AW18" s="108">
        <v>1</v>
      </c>
      <c r="AX18" s="108">
        <v>1</v>
      </c>
      <c r="BA18" s="108">
        <v>0.5</v>
      </c>
      <c r="BB18" s="108">
        <v>0.5</v>
      </c>
      <c r="BC18" s="108">
        <v>1</v>
      </c>
      <c r="BD18" s="108">
        <v>1</v>
      </c>
      <c r="BE18" s="108">
        <v>1.5</v>
      </c>
      <c r="BF18" s="108">
        <v>1.5</v>
      </c>
      <c r="BG18" s="103"/>
      <c r="BH18" s="103"/>
      <c r="BI18" s="186">
        <f t="shared" si="4"/>
        <v>21.666666666666668</v>
      </c>
      <c r="BJ18" s="103"/>
      <c r="BK18" s="103"/>
      <c r="BL18" s="103"/>
      <c r="BM18" s="103"/>
      <c r="BN18" s="103"/>
      <c r="BO18" s="103"/>
    </row>
    <row r="19" spans="1:67" s="108" customFormat="1" ht="12.75" customHeight="1">
      <c r="A19" s="185">
        <v>10</v>
      </c>
      <c r="B19" s="185" t="s">
        <v>31</v>
      </c>
      <c r="C19" s="157"/>
      <c r="D19" s="157"/>
      <c r="E19" s="157">
        <v>1</v>
      </c>
      <c r="F19" s="157">
        <v>6</v>
      </c>
      <c r="G19" s="157">
        <v>1</v>
      </c>
      <c r="H19" s="157">
        <v>10</v>
      </c>
      <c r="I19" s="157">
        <v>1</v>
      </c>
      <c r="J19" s="157">
        <v>11</v>
      </c>
      <c r="K19" s="157">
        <v>1</v>
      </c>
      <c r="L19" s="157">
        <v>11</v>
      </c>
      <c r="M19" s="157">
        <f t="shared" si="3"/>
        <v>4</v>
      </c>
      <c r="N19" s="157">
        <f t="shared" si="3"/>
        <v>38</v>
      </c>
      <c r="O19" s="157">
        <v>1</v>
      </c>
      <c r="P19" s="157">
        <v>7</v>
      </c>
      <c r="Q19" s="157">
        <v>1</v>
      </c>
      <c r="R19" s="157">
        <v>5</v>
      </c>
      <c r="S19" s="264"/>
      <c r="T19" s="264"/>
      <c r="U19" s="157">
        <v>1</v>
      </c>
      <c r="V19" s="157">
        <v>9</v>
      </c>
      <c r="W19" s="157">
        <v>1</v>
      </c>
      <c r="X19" s="157">
        <v>10</v>
      </c>
      <c r="Y19" s="157">
        <f t="shared" si="0"/>
        <v>4</v>
      </c>
      <c r="Z19" s="157">
        <f t="shared" si="0"/>
        <v>31</v>
      </c>
      <c r="AA19" s="157"/>
      <c r="AB19" s="157"/>
      <c r="AC19" s="157"/>
      <c r="AD19" s="157"/>
      <c r="AE19" s="157"/>
      <c r="AF19" s="157"/>
      <c r="AG19" s="157">
        <f t="shared" si="1"/>
        <v>0</v>
      </c>
      <c r="AH19" s="157">
        <f t="shared" si="1"/>
        <v>0</v>
      </c>
      <c r="AI19" s="157">
        <f t="shared" si="2"/>
        <v>8</v>
      </c>
      <c r="AJ19" s="157">
        <f t="shared" si="2"/>
        <v>69</v>
      </c>
      <c r="AK19" s="108">
        <v>1</v>
      </c>
      <c r="AL19" s="108">
        <v>1</v>
      </c>
      <c r="AM19" s="108">
        <v>0.5</v>
      </c>
      <c r="AN19" s="108">
        <v>0.5</v>
      </c>
      <c r="AQ19" s="108">
        <v>1</v>
      </c>
      <c r="AR19" s="108">
        <v>1</v>
      </c>
      <c r="AS19" s="108">
        <v>1</v>
      </c>
      <c r="AT19" s="108">
        <v>1</v>
      </c>
      <c r="AY19" s="108">
        <v>0.5</v>
      </c>
      <c r="AZ19" s="108">
        <v>0.5</v>
      </c>
      <c r="BC19" s="108">
        <v>1</v>
      </c>
      <c r="BD19" s="108">
        <v>1</v>
      </c>
      <c r="BE19" s="108">
        <v>0.5</v>
      </c>
      <c r="BF19" s="108">
        <v>0.5</v>
      </c>
      <c r="BG19" s="103"/>
      <c r="BH19" s="103"/>
      <c r="BI19" s="186">
        <f t="shared" si="4"/>
        <v>8.625</v>
      </c>
      <c r="BJ19" s="103"/>
      <c r="BK19" s="103"/>
      <c r="BL19" s="103"/>
      <c r="BM19" s="103"/>
      <c r="BN19" s="103"/>
      <c r="BO19" s="103"/>
    </row>
    <row r="20" spans="1:67" s="108" customFormat="1" ht="11.25" customHeight="1">
      <c r="A20" s="185">
        <v>11</v>
      </c>
      <c r="B20" s="185" t="s">
        <v>85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>
        <f t="shared" si="3"/>
        <v>0</v>
      </c>
      <c r="N20" s="157">
        <f t="shared" si="3"/>
        <v>0</v>
      </c>
      <c r="O20" s="157"/>
      <c r="P20" s="157"/>
      <c r="Q20" s="157"/>
      <c r="R20" s="157"/>
      <c r="S20" s="157"/>
      <c r="T20" s="157"/>
      <c r="U20" s="157">
        <v>2</v>
      </c>
      <c r="V20" s="157">
        <v>48</v>
      </c>
      <c r="W20" s="157">
        <v>2</v>
      </c>
      <c r="X20" s="157">
        <v>42</v>
      </c>
      <c r="Y20" s="157">
        <f t="shared" si="0"/>
        <v>4</v>
      </c>
      <c r="Z20" s="157">
        <f t="shared" si="0"/>
        <v>90</v>
      </c>
      <c r="AA20" s="157">
        <v>2</v>
      </c>
      <c r="AB20" s="157">
        <v>36</v>
      </c>
      <c r="AC20" s="157">
        <v>2</v>
      </c>
      <c r="AD20" s="157">
        <v>39</v>
      </c>
      <c r="AE20" s="157"/>
      <c r="AF20" s="157"/>
      <c r="AG20" s="157">
        <f t="shared" si="1"/>
        <v>4</v>
      </c>
      <c r="AH20" s="157">
        <f t="shared" si="1"/>
        <v>75</v>
      </c>
      <c r="AI20" s="157">
        <f t="shared" si="2"/>
        <v>8</v>
      </c>
      <c r="AJ20" s="157">
        <f t="shared" si="2"/>
        <v>165</v>
      </c>
      <c r="AK20" s="108">
        <v>1</v>
      </c>
      <c r="AL20" s="108">
        <v>1</v>
      </c>
      <c r="AM20" s="108">
        <v>2</v>
      </c>
      <c r="AN20" s="108">
        <v>2</v>
      </c>
      <c r="AQ20" s="108">
        <v>0.5</v>
      </c>
      <c r="AR20" s="108">
        <v>1</v>
      </c>
      <c r="AY20" s="108">
        <v>0.5</v>
      </c>
      <c r="AZ20" s="108">
        <v>0.5</v>
      </c>
      <c r="BA20" s="108">
        <v>0.5</v>
      </c>
      <c r="BB20" s="108">
        <v>0.5</v>
      </c>
      <c r="BC20" s="108">
        <v>1</v>
      </c>
      <c r="BD20" s="108">
        <v>1</v>
      </c>
      <c r="BE20" s="108">
        <v>1</v>
      </c>
      <c r="BF20" s="108">
        <v>1</v>
      </c>
      <c r="BG20" s="103"/>
      <c r="BH20" s="103"/>
      <c r="BI20" s="186">
        <f t="shared" si="4"/>
        <v>20.625</v>
      </c>
      <c r="BJ20" s="103"/>
      <c r="BK20" s="103"/>
      <c r="BL20" s="103"/>
      <c r="BM20" s="103"/>
      <c r="BN20" s="103"/>
      <c r="BO20" s="103"/>
    </row>
    <row r="21" spans="1:67" s="108" customFormat="1" ht="12" customHeight="1">
      <c r="A21" s="185">
        <v>12</v>
      </c>
      <c r="B21" s="185" t="s">
        <v>32</v>
      </c>
      <c r="C21" s="157"/>
      <c r="D21" s="157"/>
      <c r="E21" s="157">
        <v>1</v>
      </c>
      <c r="F21" s="157">
        <v>15</v>
      </c>
      <c r="G21" s="157">
        <v>1</v>
      </c>
      <c r="H21" s="157">
        <v>16</v>
      </c>
      <c r="I21" s="157">
        <v>1</v>
      </c>
      <c r="J21" s="157">
        <v>13</v>
      </c>
      <c r="K21" s="157">
        <v>1</v>
      </c>
      <c r="L21" s="157">
        <v>15</v>
      </c>
      <c r="M21" s="157">
        <f t="shared" si="3"/>
        <v>4</v>
      </c>
      <c r="N21" s="157">
        <f t="shared" si="3"/>
        <v>59</v>
      </c>
      <c r="O21" s="157">
        <v>1</v>
      </c>
      <c r="P21" s="157">
        <v>5</v>
      </c>
      <c r="Q21" s="157">
        <v>1</v>
      </c>
      <c r="R21" s="157">
        <v>15</v>
      </c>
      <c r="S21" s="157">
        <v>1</v>
      </c>
      <c r="T21" s="157">
        <v>14</v>
      </c>
      <c r="U21" s="157">
        <v>1</v>
      </c>
      <c r="V21" s="157">
        <v>16</v>
      </c>
      <c r="W21" s="157">
        <v>1</v>
      </c>
      <c r="X21" s="157">
        <v>13</v>
      </c>
      <c r="Y21" s="157">
        <f t="shared" si="0"/>
        <v>5</v>
      </c>
      <c r="Z21" s="157">
        <f t="shared" si="0"/>
        <v>63</v>
      </c>
      <c r="AA21" s="157">
        <v>1</v>
      </c>
      <c r="AB21" s="157">
        <v>17</v>
      </c>
      <c r="AC21" s="157">
        <v>1</v>
      </c>
      <c r="AD21" s="157">
        <v>16</v>
      </c>
      <c r="AE21" s="157"/>
      <c r="AF21" s="157"/>
      <c r="AG21" s="157">
        <f t="shared" si="1"/>
        <v>2</v>
      </c>
      <c r="AH21" s="157">
        <f t="shared" si="1"/>
        <v>33</v>
      </c>
      <c r="AI21" s="157">
        <f t="shared" si="2"/>
        <v>11</v>
      </c>
      <c r="AJ21" s="157">
        <f t="shared" si="2"/>
        <v>155</v>
      </c>
      <c r="AK21" s="108">
        <v>1</v>
      </c>
      <c r="AL21" s="108">
        <v>1</v>
      </c>
      <c r="AM21" s="108">
        <v>1.5</v>
      </c>
      <c r="AN21" s="108">
        <v>1.5</v>
      </c>
      <c r="AQ21" s="108">
        <v>1</v>
      </c>
      <c r="AR21" s="108">
        <v>1</v>
      </c>
      <c r="AS21" s="108">
        <v>1</v>
      </c>
      <c r="AT21" s="108">
        <v>1</v>
      </c>
      <c r="AY21" s="108">
        <v>0.5</v>
      </c>
      <c r="AZ21" s="108">
        <v>0.5</v>
      </c>
      <c r="BA21" s="108">
        <v>0.5</v>
      </c>
      <c r="BB21" s="108">
        <v>0.5</v>
      </c>
      <c r="BC21" s="108">
        <v>1</v>
      </c>
      <c r="BD21" s="108">
        <v>1</v>
      </c>
      <c r="BE21" s="108">
        <v>1</v>
      </c>
      <c r="BF21" s="108">
        <v>1</v>
      </c>
      <c r="BG21" s="103"/>
      <c r="BH21" s="103"/>
      <c r="BI21" s="186">
        <f t="shared" si="4"/>
        <v>14.090909090909092</v>
      </c>
      <c r="BJ21" s="103"/>
      <c r="BK21" s="103"/>
      <c r="BL21" s="103"/>
      <c r="BM21" s="103"/>
      <c r="BN21" s="103"/>
      <c r="BO21" s="103"/>
    </row>
    <row r="22" spans="1:67" s="108" customFormat="1" ht="12.75">
      <c r="A22" s="185">
        <v>13</v>
      </c>
      <c r="B22" s="185" t="s">
        <v>33</v>
      </c>
      <c r="C22" s="157"/>
      <c r="D22" s="157"/>
      <c r="E22" s="157">
        <v>1</v>
      </c>
      <c r="F22" s="157">
        <v>10</v>
      </c>
      <c r="G22" s="157">
        <v>1</v>
      </c>
      <c r="H22" s="157">
        <v>7</v>
      </c>
      <c r="I22" s="157">
        <v>1</v>
      </c>
      <c r="J22" s="157">
        <v>6</v>
      </c>
      <c r="K22" s="157">
        <v>1</v>
      </c>
      <c r="L22" s="157">
        <v>6</v>
      </c>
      <c r="M22" s="157">
        <f t="shared" si="3"/>
        <v>4</v>
      </c>
      <c r="N22" s="157">
        <f t="shared" si="3"/>
        <v>29</v>
      </c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>
        <f t="shared" si="0"/>
        <v>0</v>
      </c>
      <c r="Z22" s="157">
        <f t="shared" si="0"/>
        <v>0</v>
      </c>
      <c r="AA22" s="157"/>
      <c r="AB22" s="157"/>
      <c r="AC22" s="157"/>
      <c r="AD22" s="157"/>
      <c r="AE22" s="157"/>
      <c r="AF22" s="157"/>
      <c r="AG22" s="157">
        <f t="shared" si="1"/>
        <v>0</v>
      </c>
      <c r="AH22" s="157">
        <f t="shared" si="1"/>
        <v>0</v>
      </c>
      <c r="AI22" s="157">
        <f t="shared" si="2"/>
        <v>4</v>
      </c>
      <c r="AJ22" s="157">
        <f t="shared" si="2"/>
        <v>29</v>
      </c>
      <c r="AK22" s="108">
        <v>1</v>
      </c>
      <c r="AL22" s="108">
        <v>1</v>
      </c>
      <c r="BG22" s="103"/>
      <c r="BH22" s="103"/>
      <c r="BI22" s="186">
        <f t="shared" si="4"/>
        <v>7.25</v>
      </c>
      <c r="BJ22" s="103"/>
      <c r="BK22" s="103"/>
      <c r="BL22" s="103"/>
      <c r="BM22" s="103"/>
      <c r="BN22" s="103"/>
      <c r="BO22" s="103"/>
    </row>
    <row r="23" spans="1:67" s="108" customFormat="1" ht="12.75">
      <c r="A23" s="185">
        <v>14</v>
      </c>
      <c r="B23" s="185" t="s">
        <v>34</v>
      </c>
      <c r="C23" s="157"/>
      <c r="D23" s="157"/>
      <c r="E23" s="157">
        <v>1</v>
      </c>
      <c r="F23" s="157">
        <v>6</v>
      </c>
      <c r="G23" s="157">
        <v>1</v>
      </c>
      <c r="H23" s="157">
        <v>13</v>
      </c>
      <c r="I23" s="157"/>
      <c r="J23" s="157"/>
      <c r="K23" s="157">
        <v>1</v>
      </c>
      <c r="L23" s="157">
        <v>10</v>
      </c>
      <c r="M23" s="157">
        <f t="shared" si="3"/>
        <v>3</v>
      </c>
      <c r="N23" s="157">
        <f t="shared" si="3"/>
        <v>29</v>
      </c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>
        <f t="shared" si="0"/>
        <v>0</v>
      </c>
      <c r="Z23" s="157">
        <f t="shared" si="0"/>
        <v>0</v>
      </c>
      <c r="AA23" s="157"/>
      <c r="AB23" s="157"/>
      <c r="AC23" s="157"/>
      <c r="AD23" s="157"/>
      <c r="AE23" s="157"/>
      <c r="AF23" s="157"/>
      <c r="AG23" s="157">
        <f t="shared" si="1"/>
        <v>0</v>
      </c>
      <c r="AH23" s="157">
        <f t="shared" si="1"/>
        <v>0</v>
      </c>
      <c r="AI23" s="157">
        <f t="shared" si="2"/>
        <v>3</v>
      </c>
      <c r="AJ23" s="157">
        <f t="shared" si="2"/>
        <v>29</v>
      </c>
      <c r="AK23" s="108">
        <v>1</v>
      </c>
      <c r="BG23" s="103"/>
      <c r="BH23" s="103"/>
      <c r="BI23" s="186">
        <f t="shared" si="4"/>
        <v>9.666666666666666</v>
      </c>
      <c r="BJ23" s="103"/>
      <c r="BK23" s="103"/>
      <c r="BL23" s="103"/>
      <c r="BM23" s="103"/>
      <c r="BN23" s="103"/>
      <c r="BO23" s="103"/>
    </row>
    <row r="24" spans="1:67" s="23" customFormat="1" ht="6" customHeight="1">
      <c r="A24" s="85"/>
      <c r="B24" s="85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BG24"/>
      <c r="BH24"/>
      <c r="BI24" s="106"/>
      <c r="BJ24"/>
      <c r="BK24"/>
      <c r="BL24"/>
      <c r="BM24"/>
      <c r="BN24"/>
      <c r="BO24"/>
    </row>
    <row r="25" spans="1:67" s="23" customFormat="1" ht="12.75">
      <c r="A25" s="85"/>
      <c r="B25" s="85" t="s">
        <v>35</v>
      </c>
      <c r="C25" s="43">
        <f>SUM(C8:C24)</f>
        <v>4</v>
      </c>
      <c r="D25" s="43">
        <f aca="true" t="shared" si="5" ref="D25:AJ25">SUM(D8:D24)</f>
        <v>110</v>
      </c>
      <c r="E25" s="43">
        <f t="shared" si="5"/>
        <v>23</v>
      </c>
      <c r="F25" s="43">
        <f t="shared" si="5"/>
        <v>481</v>
      </c>
      <c r="G25" s="43">
        <f>SUM(G8:G24)</f>
        <v>26</v>
      </c>
      <c r="H25" s="43">
        <f>SUM(H8:H24)</f>
        <v>569</v>
      </c>
      <c r="I25" s="43">
        <f t="shared" si="5"/>
        <v>22</v>
      </c>
      <c r="J25" s="43">
        <f t="shared" si="5"/>
        <v>499</v>
      </c>
      <c r="K25" s="43">
        <f t="shared" si="5"/>
        <v>23</v>
      </c>
      <c r="L25" s="43">
        <f t="shared" si="5"/>
        <v>467</v>
      </c>
      <c r="M25" s="43">
        <f t="shared" si="5"/>
        <v>98</v>
      </c>
      <c r="N25" s="43">
        <f t="shared" si="5"/>
        <v>2126</v>
      </c>
      <c r="O25" s="43">
        <f t="shared" si="5"/>
        <v>21</v>
      </c>
      <c r="P25" s="43">
        <f t="shared" si="5"/>
        <v>486</v>
      </c>
      <c r="Q25" s="43">
        <f t="shared" si="5"/>
        <v>21</v>
      </c>
      <c r="R25" s="43">
        <f t="shared" si="5"/>
        <v>478</v>
      </c>
      <c r="S25" s="43">
        <f t="shared" si="5"/>
        <v>21</v>
      </c>
      <c r="T25" s="43">
        <f t="shared" si="5"/>
        <v>494</v>
      </c>
      <c r="U25" s="43">
        <f t="shared" si="5"/>
        <v>23</v>
      </c>
      <c r="V25" s="43">
        <f t="shared" si="5"/>
        <v>559</v>
      </c>
      <c r="W25" s="43">
        <f t="shared" si="5"/>
        <v>24</v>
      </c>
      <c r="X25" s="43">
        <f t="shared" si="5"/>
        <v>556</v>
      </c>
      <c r="Y25" s="43">
        <f t="shared" si="5"/>
        <v>110</v>
      </c>
      <c r="Z25" s="43">
        <f t="shared" si="5"/>
        <v>2573</v>
      </c>
      <c r="AA25" s="43">
        <f t="shared" si="5"/>
        <v>14</v>
      </c>
      <c r="AB25" s="43">
        <f t="shared" si="5"/>
        <v>280</v>
      </c>
      <c r="AC25" s="43">
        <f t="shared" si="5"/>
        <v>13</v>
      </c>
      <c r="AD25" s="43">
        <f t="shared" si="5"/>
        <v>248</v>
      </c>
      <c r="AE25" s="43">
        <f t="shared" si="5"/>
        <v>1</v>
      </c>
      <c r="AF25" s="43">
        <f t="shared" si="5"/>
        <v>18</v>
      </c>
      <c r="AG25" s="43">
        <f t="shared" si="5"/>
        <v>28</v>
      </c>
      <c r="AH25" s="43">
        <f t="shared" si="5"/>
        <v>546</v>
      </c>
      <c r="AI25" s="43">
        <f t="shared" si="5"/>
        <v>236</v>
      </c>
      <c r="AJ25" s="43">
        <f t="shared" si="5"/>
        <v>5245</v>
      </c>
      <c r="BG25"/>
      <c r="BH25"/>
      <c r="BI25" s="106">
        <f t="shared" si="4"/>
        <v>22.22457627118644</v>
      </c>
      <c r="BJ25"/>
      <c r="BK25"/>
      <c r="BL25"/>
      <c r="BM25"/>
      <c r="BN25"/>
      <c r="BO25"/>
    </row>
    <row r="26" spans="1:67" s="23" customFormat="1" ht="14.25" customHeight="1" thickBot="1">
      <c r="A26" s="86"/>
      <c r="B26" s="86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BG26"/>
      <c r="BH26"/>
      <c r="BI26" s="106"/>
      <c r="BJ26"/>
      <c r="BK26"/>
      <c r="BL26"/>
      <c r="BM26"/>
      <c r="BN26"/>
      <c r="BO26"/>
    </row>
    <row r="27" spans="1:67" s="23" customFormat="1" ht="11.25" customHeight="1" thickBot="1">
      <c r="A27" s="248" t="s">
        <v>311</v>
      </c>
      <c r="B27" s="249"/>
      <c r="C27" s="250"/>
      <c r="D27" s="250"/>
      <c r="E27" s="250"/>
      <c r="F27" s="251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BG27"/>
      <c r="BH27"/>
      <c r="BI27" s="106"/>
      <c r="BJ27"/>
      <c r="BK27"/>
      <c r="BL27"/>
      <c r="BM27"/>
      <c r="BN27"/>
      <c r="BO27"/>
    </row>
    <row r="28" spans="1:67" s="108" customFormat="1" ht="12.75">
      <c r="A28" s="246">
        <v>17</v>
      </c>
      <c r="B28" s="246" t="s">
        <v>36</v>
      </c>
      <c r="C28" s="247">
        <v>1</v>
      </c>
      <c r="D28" s="247">
        <v>24</v>
      </c>
      <c r="E28" s="247">
        <v>1</v>
      </c>
      <c r="F28" s="247">
        <v>24</v>
      </c>
      <c r="G28" s="157">
        <v>2</v>
      </c>
      <c r="H28" s="157">
        <v>47</v>
      </c>
      <c r="I28" s="157">
        <v>2</v>
      </c>
      <c r="J28" s="157">
        <v>40</v>
      </c>
      <c r="K28" s="157">
        <v>2</v>
      </c>
      <c r="L28" s="157">
        <v>40</v>
      </c>
      <c r="M28" s="157">
        <f>K28+I28+G28+E28+C28</f>
        <v>8</v>
      </c>
      <c r="N28" s="157">
        <f>L28+J28+H28+F28+D28</f>
        <v>175</v>
      </c>
      <c r="O28" s="157">
        <v>1</v>
      </c>
      <c r="P28" s="157">
        <v>34</v>
      </c>
      <c r="Q28" s="157">
        <v>2</v>
      </c>
      <c r="R28" s="157">
        <v>38</v>
      </c>
      <c r="S28" s="157">
        <v>2</v>
      </c>
      <c r="T28" s="157">
        <v>40</v>
      </c>
      <c r="U28" s="157">
        <v>2</v>
      </c>
      <c r="V28" s="157">
        <v>54</v>
      </c>
      <c r="W28" s="157">
        <v>2</v>
      </c>
      <c r="X28" s="157">
        <v>36</v>
      </c>
      <c r="Y28" s="157">
        <f>O28+Q28+S28+U28+W28</f>
        <v>9</v>
      </c>
      <c r="Z28" s="157">
        <f>P28+R28+T28+V28+X28</f>
        <v>202</v>
      </c>
      <c r="AA28" s="157">
        <v>1</v>
      </c>
      <c r="AB28" s="157">
        <v>23</v>
      </c>
      <c r="AC28" s="157">
        <v>1</v>
      </c>
      <c r="AD28" s="157">
        <v>25</v>
      </c>
      <c r="AE28" s="157"/>
      <c r="AF28" s="157"/>
      <c r="AG28" s="157">
        <f>AA28+AC28</f>
        <v>2</v>
      </c>
      <c r="AH28" s="157">
        <f>AB28+AD28</f>
        <v>48</v>
      </c>
      <c r="AI28" s="157">
        <f>AG28+Y28+M28</f>
        <v>19</v>
      </c>
      <c r="AJ28" s="157">
        <f>AH28+Z28+N28</f>
        <v>425</v>
      </c>
      <c r="BG28" s="103"/>
      <c r="BH28" s="103"/>
      <c r="BI28" s="186">
        <f t="shared" si="4"/>
        <v>22.36842105263158</v>
      </c>
      <c r="BJ28" s="103"/>
      <c r="BK28" s="103"/>
      <c r="BL28" s="103"/>
      <c r="BM28" s="103"/>
      <c r="BN28" s="103"/>
      <c r="BO28" s="103"/>
    </row>
    <row r="29" spans="1:67" s="23" customFormat="1" ht="12.75">
      <c r="A29" s="85">
        <v>18</v>
      </c>
      <c r="B29" s="85" t="s">
        <v>37</v>
      </c>
      <c r="C29" s="43">
        <v>2</v>
      </c>
      <c r="D29" s="43">
        <v>50</v>
      </c>
      <c r="E29" s="43"/>
      <c r="F29" s="43"/>
      <c r="G29" s="43">
        <v>2</v>
      </c>
      <c r="H29" s="43">
        <v>42</v>
      </c>
      <c r="I29" s="43">
        <v>2</v>
      </c>
      <c r="J29" s="43">
        <v>50</v>
      </c>
      <c r="K29" s="267">
        <v>1</v>
      </c>
      <c r="L29" s="267">
        <v>35</v>
      </c>
      <c r="M29" s="43">
        <f>K29+I29+G29+E29+C29</f>
        <v>7</v>
      </c>
      <c r="N29" s="43">
        <f>L29+J29+H29+F29+D29</f>
        <v>177</v>
      </c>
      <c r="O29" s="43">
        <v>2</v>
      </c>
      <c r="P29" s="43">
        <v>40</v>
      </c>
      <c r="Q29" s="43">
        <v>2</v>
      </c>
      <c r="R29" s="43">
        <v>48</v>
      </c>
      <c r="S29" s="43">
        <v>2</v>
      </c>
      <c r="T29" s="43">
        <v>40</v>
      </c>
      <c r="U29" s="43">
        <v>2</v>
      </c>
      <c r="V29" s="43">
        <v>49</v>
      </c>
      <c r="W29" s="267">
        <v>1</v>
      </c>
      <c r="X29" s="267">
        <v>35</v>
      </c>
      <c r="Y29" s="43">
        <f>O29+Q29+S29+U29+W29</f>
        <v>9</v>
      </c>
      <c r="Z29" s="43">
        <f>P29+R29+T29+V29+X29</f>
        <v>212</v>
      </c>
      <c r="AA29" s="43">
        <v>1</v>
      </c>
      <c r="AB29" s="43">
        <v>11</v>
      </c>
      <c r="AC29" s="43">
        <v>1</v>
      </c>
      <c r="AD29" s="43">
        <v>22</v>
      </c>
      <c r="AE29" s="43"/>
      <c r="AF29" s="43"/>
      <c r="AG29" s="43">
        <f>AA29+AC29</f>
        <v>2</v>
      </c>
      <c r="AH29" s="43">
        <f>AB29+AD29</f>
        <v>33</v>
      </c>
      <c r="AI29" s="43">
        <f>AG29+Y29+M29</f>
        <v>18</v>
      </c>
      <c r="AJ29" s="43">
        <f>AH29+Z29+N29</f>
        <v>422</v>
      </c>
      <c r="BG29"/>
      <c r="BH29"/>
      <c r="BI29" s="106">
        <f t="shared" si="4"/>
        <v>23.444444444444443</v>
      </c>
      <c r="BJ29"/>
      <c r="BK29"/>
      <c r="BL29"/>
      <c r="BM29"/>
      <c r="BN29"/>
      <c r="BO29"/>
    </row>
    <row r="30" spans="1:111" s="23" customFormat="1" ht="12.75">
      <c r="A30" s="85"/>
      <c r="B30" s="85"/>
      <c r="C30" s="43">
        <f aca="true" t="shared" si="6" ref="C30:AJ30">SUM(C28:C29)</f>
        <v>3</v>
      </c>
      <c r="D30" s="43">
        <f t="shared" si="6"/>
        <v>74</v>
      </c>
      <c r="E30" s="43">
        <f t="shared" si="6"/>
        <v>1</v>
      </c>
      <c r="F30" s="43">
        <f t="shared" si="6"/>
        <v>24</v>
      </c>
      <c r="G30" s="43">
        <f t="shared" si="6"/>
        <v>4</v>
      </c>
      <c r="H30" s="43">
        <f t="shared" si="6"/>
        <v>89</v>
      </c>
      <c r="I30" s="43">
        <f t="shared" si="6"/>
        <v>4</v>
      </c>
      <c r="J30" s="43">
        <f t="shared" si="6"/>
        <v>90</v>
      </c>
      <c r="K30" s="43">
        <f t="shared" si="6"/>
        <v>3</v>
      </c>
      <c r="L30" s="43">
        <f t="shared" si="6"/>
        <v>75</v>
      </c>
      <c r="M30" s="43">
        <f t="shared" si="6"/>
        <v>15</v>
      </c>
      <c r="N30" s="43">
        <f t="shared" si="6"/>
        <v>352</v>
      </c>
      <c r="O30" s="43">
        <f t="shared" si="6"/>
        <v>3</v>
      </c>
      <c r="P30" s="43">
        <f t="shared" si="6"/>
        <v>74</v>
      </c>
      <c r="Q30" s="43">
        <f t="shared" si="6"/>
        <v>4</v>
      </c>
      <c r="R30" s="43">
        <f t="shared" si="6"/>
        <v>86</v>
      </c>
      <c r="S30" s="43">
        <f>SUM(S28:S29)</f>
        <v>4</v>
      </c>
      <c r="T30" s="43">
        <f t="shared" si="6"/>
        <v>80</v>
      </c>
      <c r="U30" s="43">
        <f t="shared" si="6"/>
        <v>4</v>
      </c>
      <c r="V30" s="43">
        <f t="shared" si="6"/>
        <v>103</v>
      </c>
      <c r="W30" s="43">
        <f t="shared" si="6"/>
        <v>3</v>
      </c>
      <c r="X30" s="43">
        <f t="shared" si="6"/>
        <v>71</v>
      </c>
      <c r="Y30" s="43">
        <f t="shared" si="6"/>
        <v>18</v>
      </c>
      <c r="Z30" s="43">
        <f t="shared" si="6"/>
        <v>414</v>
      </c>
      <c r="AA30" s="43">
        <f t="shared" si="6"/>
        <v>2</v>
      </c>
      <c r="AB30" s="43">
        <f t="shared" si="6"/>
        <v>34</v>
      </c>
      <c r="AC30" s="43">
        <f t="shared" si="6"/>
        <v>2</v>
      </c>
      <c r="AD30" s="43">
        <f t="shared" si="6"/>
        <v>47</v>
      </c>
      <c r="AE30" s="43">
        <f t="shared" si="6"/>
        <v>0</v>
      </c>
      <c r="AF30" s="43">
        <f t="shared" si="6"/>
        <v>0</v>
      </c>
      <c r="AG30" s="43">
        <f t="shared" si="6"/>
        <v>4</v>
      </c>
      <c r="AH30" s="43">
        <f t="shared" si="6"/>
        <v>81</v>
      </c>
      <c r="AI30" s="43">
        <f t="shared" si="6"/>
        <v>37</v>
      </c>
      <c r="AJ30" s="43">
        <f t="shared" si="6"/>
        <v>847</v>
      </c>
      <c r="AK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 s="106">
        <f t="shared" si="4"/>
        <v>22.89189189189189</v>
      </c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</row>
    <row r="31" spans="1:111" s="23" customFormat="1" ht="6" customHeight="1">
      <c r="A31" s="86"/>
      <c r="B31" s="86"/>
      <c r="AK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 s="106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</row>
    <row r="32" spans="1:111" s="23" customFormat="1" ht="12.75">
      <c r="A32" s="86" t="s">
        <v>38</v>
      </c>
      <c r="B32" s="87"/>
      <c r="C32" s="43">
        <f>C25+C30</f>
        <v>7</v>
      </c>
      <c r="D32" s="43">
        <f aca="true" t="shared" si="7" ref="D32:AJ32">D25+D30</f>
        <v>184</v>
      </c>
      <c r="E32" s="43">
        <f t="shared" si="7"/>
        <v>24</v>
      </c>
      <c r="F32" s="43">
        <f t="shared" si="7"/>
        <v>505</v>
      </c>
      <c r="G32" s="43">
        <f t="shared" si="7"/>
        <v>30</v>
      </c>
      <c r="H32" s="43">
        <f t="shared" si="7"/>
        <v>658</v>
      </c>
      <c r="I32" s="43">
        <f t="shared" si="7"/>
        <v>26</v>
      </c>
      <c r="J32" s="43">
        <f t="shared" si="7"/>
        <v>589</v>
      </c>
      <c r="K32" s="43">
        <f t="shared" si="7"/>
        <v>26</v>
      </c>
      <c r="L32" s="43">
        <f t="shared" si="7"/>
        <v>542</v>
      </c>
      <c r="M32" s="43">
        <f t="shared" si="7"/>
        <v>113</v>
      </c>
      <c r="N32" s="43">
        <f t="shared" si="7"/>
        <v>2478</v>
      </c>
      <c r="O32" s="43">
        <f t="shared" si="7"/>
        <v>24</v>
      </c>
      <c r="P32" s="43">
        <f t="shared" si="7"/>
        <v>560</v>
      </c>
      <c r="Q32" s="43">
        <f t="shared" si="7"/>
        <v>25</v>
      </c>
      <c r="R32" s="43">
        <f t="shared" si="7"/>
        <v>564</v>
      </c>
      <c r="S32" s="43">
        <f t="shared" si="7"/>
        <v>25</v>
      </c>
      <c r="T32" s="43">
        <f t="shared" si="7"/>
        <v>574</v>
      </c>
      <c r="U32" s="43">
        <f t="shared" si="7"/>
        <v>27</v>
      </c>
      <c r="V32" s="43">
        <f t="shared" si="7"/>
        <v>662</v>
      </c>
      <c r="W32" s="43">
        <f t="shared" si="7"/>
        <v>27</v>
      </c>
      <c r="X32" s="43">
        <f t="shared" si="7"/>
        <v>627</v>
      </c>
      <c r="Y32" s="43">
        <f t="shared" si="7"/>
        <v>128</v>
      </c>
      <c r="Z32" s="43">
        <f t="shared" si="7"/>
        <v>2987</v>
      </c>
      <c r="AA32" s="43">
        <f t="shared" si="7"/>
        <v>16</v>
      </c>
      <c r="AB32" s="43">
        <f t="shared" si="7"/>
        <v>314</v>
      </c>
      <c r="AC32" s="43">
        <f t="shared" si="7"/>
        <v>15</v>
      </c>
      <c r="AD32" s="43">
        <f t="shared" si="7"/>
        <v>295</v>
      </c>
      <c r="AE32" s="43">
        <f t="shared" si="7"/>
        <v>1</v>
      </c>
      <c r="AF32" s="43">
        <f t="shared" si="7"/>
        <v>18</v>
      </c>
      <c r="AG32" s="43">
        <f t="shared" si="7"/>
        <v>32</v>
      </c>
      <c r="AH32" s="43">
        <f t="shared" si="7"/>
        <v>627</v>
      </c>
      <c r="AI32" s="43">
        <f t="shared" si="7"/>
        <v>273</v>
      </c>
      <c r="AJ32" s="43">
        <f t="shared" si="7"/>
        <v>6092</v>
      </c>
      <c r="AK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 s="106">
        <f t="shared" si="4"/>
        <v>22.315018315018314</v>
      </c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</row>
    <row r="33" spans="1:111" ht="12.75" customHeight="1">
      <c r="A33" s="88" t="s">
        <v>39</v>
      </c>
      <c r="B33" s="88"/>
      <c r="P33" s="45"/>
      <c r="T33" s="45"/>
      <c r="U33" s="45"/>
      <c r="V33" s="45"/>
      <c r="W33" s="45"/>
      <c r="X33" s="45"/>
      <c r="AA33" s="45"/>
      <c r="AB33" s="45"/>
      <c r="AC33" s="45"/>
      <c r="AD33" s="45"/>
      <c r="AE33" s="45"/>
      <c r="AF33" s="45"/>
      <c r="AK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</row>
    <row r="34" spans="1:61" ht="0.75" customHeight="1">
      <c r="A34" s="87" t="s">
        <v>40</v>
      </c>
      <c r="B34" s="87"/>
      <c r="C34" t="e">
        <f>C32-#REF!</f>
        <v>#REF!</v>
      </c>
      <c r="D34" t="e">
        <f>D32-#REF!</f>
        <v>#REF!</v>
      </c>
      <c r="E34" t="e">
        <f>E32-#REF!</f>
        <v>#REF!</v>
      </c>
      <c r="F34" t="e">
        <f>F32-#REF!</f>
        <v>#REF!</v>
      </c>
      <c r="G34" t="e">
        <f>G32-#REF!</f>
        <v>#REF!</v>
      </c>
      <c r="H34" t="e">
        <f>H32-#REF!</f>
        <v>#REF!</v>
      </c>
      <c r="I34" t="e">
        <f>I32-#REF!</f>
        <v>#REF!</v>
      </c>
      <c r="J34" t="e">
        <f>J32-#REF!</f>
        <v>#REF!</v>
      </c>
      <c r="K34" t="e">
        <f>K32-#REF!</f>
        <v>#REF!</v>
      </c>
      <c r="L34" t="e">
        <f>L32-#REF!</f>
        <v>#REF!</v>
      </c>
      <c r="M34" t="e">
        <f>M32-#REF!</f>
        <v>#REF!</v>
      </c>
      <c r="N34" t="e">
        <f>N32-#REF!</f>
        <v>#REF!</v>
      </c>
      <c r="O34" t="e">
        <f>O32-#REF!</f>
        <v>#REF!</v>
      </c>
      <c r="P34" t="e">
        <f>P32-#REF!</f>
        <v>#REF!</v>
      </c>
      <c r="Q34" t="e">
        <f>Q32-#REF!</f>
        <v>#REF!</v>
      </c>
      <c r="R34" t="e">
        <f>R32-#REF!</f>
        <v>#REF!</v>
      </c>
      <c r="S34" t="e">
        <f>S32-#REF!</f>
        <v>#REF!</v>
      </c>
      <c r="T34" t="e">
        <f>T32-#REF!</f>
        <v>#REF!</v>
      </c>
      <c r="U34" t="e">
        <f>U32-#REF!</f>
        <v>#REF!</v>
      </c>
      <c r="V34" t="e">
        <f>V32-#REF!</f>
        <v>#REF!</v>
      </c>
      <c r="W34" t="e">
        <f>W32-#REF!</f>
        <v>#REF!</v>
      </c>
      <c r="X34" t="e">
        <f>X32-#REF!</f>
        <v>#REF!</v>
      </c>
      <c r="Y34" t="e">
        <f>Y32-#REF!</f>
        <v>#REF!</v>
      </c>
      <c r="Z34" t="e">
        <f>Z32-#REF!</f>
        <v>#REF!</v>
      </c>
      <c r="AA34" t="e">
        <f>AA32-#REF!</f>
        <v>#REF!</v>
      </c>
      <c r="AB34" t="e">
        <f>AB32-#REF!</f>
        <v>#REF!</v>
      </c>
      <c r="AC34" t="e">
        <f>AC32-#REF!</f>
        <v>#REF!</v>
      </c>
      <c r="AD34" t="e">
        <f>AD32-#REF!</f>
        <v>#REF!</v>
      </c>
      <c r="AE34" t="e">
        <f>AE32-#REF!</f>
        <v>#REF!</v>
      </c>
      <c r="AF34" t="e">
        <f>AF32-#REF!</f>
        <v>#REF!</v>
      </c>
      <c r="AG34" t="e">
        <f>AG32-#REF!</f>
        <v>#REF!</v>
      </c>
      <c r="AH34" t="e">
        <f>AH32-#REF!</f>
        <v>#REF!</v>
      </c>
      <c r="AI34" t="e">
        <f>AI32-#REF!</f>
        <v>#REF!</v>
      </c>
      <c r="AK34" t="e">
        <f>AK32-#REF!</f>
        <v>#REF!</v>
      </c>
      <c r="AL34" t="e">
        <f>AL32-#REF!</f>
        <v>#REF!</v>
      </c>
      <c r="AM34" t="e">
        <f>AM32-#REF!</f>
        <v>#REF!</v>
      </c>
      <c r="AN34" t="e">
        <f>AN32-#REF!</f>
        <v>#REF!</v>
      </c>
      <c r="AO34" t="e">
        <f>AO32-#REF!</f>
        <v>#REF!</v>
      </c>
      <c r="AP34" t="e">
        <f>AP32-#REF!</f>
        <v>#REF!</v>
      </c>
      <c r="AQ34" t="e">
        <f>AQ32-#REF!</f>
        <v>#REF!</v>
      </c>
      <c r="AR34" t="e">
        <f>AR32-#REF!</f>
        <v>#REF!</v>
      </c>
      <c r="AS34" t="e">
        <f>AS32-#REF!</f>
        <v>#REF!</v>
      </c>
      <c r="AT34" t="e">
        <f>AT32-#REF!</f>
        <v>#REF!</v>
      </c>
      <c r="AU34" t="e">
        <f>AU32-#REF!</f>
        <v>#REF!</v>
      </c>
      <c r="AV34" t="e">
        <f>AV32-#REF!</f>
        <v>#REF!</v>
      </c>
      <c r="AW34" t="e">
        <f>AW32-#REF!</f>
        <v>#REF!</v>
      </c>
      <c r="AX34" t="e">
        <f>AX32-#REF!</f>
        <v>#REF!</v>
      </c>
      <c r="AY34" t="e">
        <f>AY32-#REF!</f>
        <v>#REF!</v>
      </c>
      <c r="AZ34" t="e">
        <f>AZ32-#REF!</f>
        <v>#REF!</v>
      </c>
      <c r="BA34" t="e">
        <f>BA32-#REF!</f>
        <v>#REF!</v>
      </c>
      <c r="BB34" t="e">
        <f>BB32-#REF!</f>
        <v>#REF!</v>
      </c>
      <c r="BC34" t="e">
        <f>BC32-#REF!</f>
        <v>#REF!</v>
      </c>
      <c r="BD34" t="e">
        <f>BD32-#REF!</f>
        <v>#REF!</v>
      </c>
      <c r="BE34" t="e">
        <f>BE32-#REF!</f>
        <v>#REF!</v>
      </c>
      <c r="BF34" t="e">
        <f>BF32-#REF!</f>
        <v>#REF!</v>
      </c>
      <c r="BG34" t="e">
        <f>BG32-#REF!</f>
        <v>#REF!</v>
      </c>
      <c r="BH34" t="e">
        <f>BH32-#REF!</f>
        <v>#REF!</v>
      </c>
      <c r="BI34" t="e">
        <f>BI32-#REF!</f>
        <v>#REF!</v>
      </c>
    </row>
    <row r="35" spans="1:2" ht="12.75">
      <c r="A35" s="87"/>
      <c r="B35" s="87"/>
    </row>
    <row r="36" spans="1:2" ht="12.75" customHeight="1">
      <c r="A36" s="88"/>
      <c r="B36" s="88"/>
    </row>
    <row r="37" spans="1:67" s="26" customFormat="1" ht="12.75" customHeight="1" hidden="1">
      <c r="A37" s="87" t="s">
        <v>42</v>
      </c>
      <c r="B37" s="87"/>
      <c r="H37"/>
      <c r="P37" s="26" t="s">
        <v>43</v>
      </c>
      <c r="BG37"/>
      <c r="BH37"/>
      <c r="BI37"/>
      <c r="BJ37"/>
      <c r="BK37"/>
      <c r="BL37"/>
      <c r="BM37"/>
      <c r="BN37"/>
      <c r="BO37"/>
    </row>
    <row r="39" spans="1:2" ht="12.75">
      <c r="A39" s="88"/>
      <c r="B39" s="88"/>
    </row>
    <row r="40" spans="1:16" ht="12.75" hidden="1">
      <c r="A40" s="88" t="s">
        <v>165</v>
      </c>
      <c r="B40" s="88"/>
      <c r="P40" s="22" t="s">
        <v>192</v>
      </c>
    </row>
    <row r="41" spans="1:16" ht="12.75" customHeight="1">
      <c r="A41" s="88" t="s">
        <v>308</v>
      </c>
      <c r="B41" s="88"/>
      <c r="P41" s="22" t="s">
        <v>332</v>
      </c>
    </row>
    <row r="42" spans="1:2" ht="12.75">
      <c r="A42" s="88"/>
      <c r="B42" s="88"/>
    </row>
    <row r="43" spans="1:2" ht="12.75">
      <c r="A43" s="88"/>
      <c r="B43" s="88"/>
    </row>
    <row r="44" spans="1:2" ht="12.75">
      <c r="A44" s="88"/>
      <c r="B44" s="88"/>
    </row>
    <row r="45" spans="1:2" ht="12.75">
      <c r="A45" s="88"/>
      <c r="B45" s="88"/>
    </row>
    <row r="46" spans="1:2" ht="12.75">
      <c r="A46" s="88"/>
      <c r="B46" s="88"/>
    </row>
    <row r="47" spans="1:2" ht="12.75">
      <c r="A47" s="88"/>
      <c r="B47" s="88"/>
    </row>
    <row r="48" spans="1:2" ht="12.75">
      <c r="A48" s="88"/>
      <c r="B48" s="88"/>
    </row>
    <row r="49" spans="1:2" ht="12.75">
      <c r="A49" s="88"/>
      <c r="B49" s="88"/>
    </row>
    <row r="50" spans="1:2" ht="12.75">
      <c r="A50" s="88"/>
      <c r="B50" s="88"/>
    </row>
    <row r="51" spans="1:2" ht="12.75">
      <c r="A51" s="88"/>
      <c r="B51" s="88"/>
    </row>
    <row r="52" spans="1:2" ht="12.75">
      <c r="A52" s="88"/>
      <c r="B52" s="88"/>
    </row>
    <row r="53" spans="1:2" ht="12.75">
      <c r="A53" s="88"/>
      <c r="B53" s="88"/>
    </row>
    <row r="54" spans="1:2" ht="12.75">
      <c r="A54" s="88"/>
      <c r="B54" s="88"/>
    </row>
    <row r="55" spans="1:2" ht="12.75">
      <c r="A55" s="88"/>
      <c r="B55" s="88"/>
    </row>
    <row r="56" spans="1:2" ht="12.75">
      <c r="A56" s="88"/>
      <c r="B56" s="88"/>
    </row>
    <row r="57" spans="1:2" ht="12.75">
      <c r="A57" s="88"/>
      <c r="B57" s="88"/>
    </row>
    <row r="58" spans="1:2" ht="12.75">
      <c r="A58" s="88"/>
      <c r="B58" s="88"/>
    </row>
    <row r="59" spans="1:2" ht="12.75">
      <c r="A59" s="88"/>
      <c r="B59" s="88"/>
    </row>
    <row r="60" spans="1:2" ht="12.75">
      <c r="A60" s="88"/>
      <c r="B60" s="88"/>
    </row>
    <row r="61" spans="1:2" ht="12.75">
      <c r="A61" s="88"/>
      <c r="B61" s="88"/>
    </row>
    <row r="62" spans="1:2" ht="12.75">
      <c r="A62" s="88"/>
      <c r="B62" s="88"/>
    </row>
    <row r="63" spans="1:2" ht="12.75">
      <c r="A63" s="88"/>
      <c r="B63" s="88"/>
    </row>
    <row r="64" spans="1:2" ht="12.75">
      <c r="A64" s="88"/>
      <c r="B64" s="88"/>
    </row>
    <row r="65" spans="1:2" ht="12.75">
      <c r="A65" s="88"/>
      <c r="B65" s="88"/>
    </row>
    <row r="66" spans="1:2" ht="12.75">
      <c r="A66" s="88"/>
      <c r="B66" s="88"/>
    </row>
    <row r="67" spans="1:2" ht="12.75">
      <c r="A67" s="88"/>
      <c r="B67" s="88"/>
    </row>
  </sheetData>
  <printOptions/>
  <pageMargins left="0.17" right="0.18" top="0.88" bottom="0.54" header="0.22" footer="0.33"/>
  <pageSetup fitToHeight="1" fitToWidth="1" horizontalDpi="120" verticalDpi="12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0">
      <selection activeCell="N20" sqref="N20"/>
    </sheetView>
  </sheetViews>
  <sheetFormatPr defaultColWidth="9.00390625" defaultRowHeight="12.75"/>
  <cols>
    <col min="1" max="1" width="11.00390625" style="26" customWidth="1"/>
    <col min="2" max="2" width="9.125" style="26" customWidth="1"/>
    <col min="3" max="3" width="6.25390625" style="26" customWidth="1"/>
    <col min="4" max="4" width="6.375" style="26" customWidth="1"/>
    <col min="5" max="5" width="7.125" style="26" customWidth="1"/>
    <col min="6" max="6" width="7.25390625" style="26" customWidth="1"/>
    <col min="7" max="7" width="7.625" style="26" customWidth="1"/>
    <col min="8" max="8" width="7.25390625" style="26" customWidth="1"/>
    <col min="9" max="9" width="6.25390625" style="26" customWidth="1"/>
    <col min="10" max="10" width="6.875" style="26" customWidth="1"/>
    <col min="11" max="11" width="6.75390625" style="26" customWidth="1"/>
    <col min="12" max="12" width="7.375" style="26" customWidth="1"/>
    <col min="13" max="16384" width="9.125" style="26" customWidth="1"/>
  </cols>
  <sheetData>
    <row r="1" spans="6:14" ht="14.25">
      <c r="F1"/>
      <c r="G1"/>
      <c r="H1" s="108"/>
      <c r="I1" s="108" t="s">
        <v>190</v>
      </c>
      <c r="J1" s="108"/>
      <c r="K1" s="97"/>
      <c r="L1" s="24"/>
      <c r="M1" s="24"/>
      <c r="N1" s="24"/>
    </row>
    <row r="2" spans="6:14" ht="15">
      <c r="F2"/>
      <c r="G2"/>
      <c r="I2" s="103" t="s">
        <v>191</v>
      </c>
      <c r="J2" s="108"/>
      <c r="K2" s="97"/>
      <c r="L2" s="25"/>
      <c r="M2" s="25"/>
      <c r="N2" s="25"/>
    </row>
    <row r="3" spans="6:14" ht="14.25">
      <c r="F3"/>
      <c r="G3"/>
      <c r="I3" s="109"/>
      <c r="J3" s="108" t="s">
        <v>143</v>
      </c>
      <c r="K3" s="109"/>
      <c r="L3" s="24"/>
      <c r="M3" s="24"/>
      <c r="N3" s="24"/>
    </row>
    <row r="4" spans="6:14" ht="14.25">
      <c r="F4"/>
      <c r="G4"/>
      <c r="H4" s="98"/>
      <c r="I4" s="97"/>
      <c r="J4" s="97"/>
      <c r="K4" s="97"/>
      <c r="L4" s="24"/>
      <c r="M4" s="24"/>
      <c r="N4" s="24"/>
    </row>
    <row r="5" spans="3:4" ht="14.25">
      <c r="C5" s="105" t="s">
        <v>328</v>
      </c>
      <c r="D5"/>
    </row>
    <row r="7" spans="1:12" ht="15" thickBot="1">
      <c r="A7" s="27"/>
      <c r="B7" s="28"/>
      <c r="C7" s="261" t="s">
        <v>44</v>
      </c>
      <c r="D7" s="33"/>
      <c r="E7" s="34" t="s">
        <v>45</v>
      </c>
      <c r="F7" s="35"/>
      <c r="G7" s="33" t="s">
        <v>46</v>
      </c>
      <c r="H7" s="35"/>
      <c r="I7" s="33" t="s">
        <v>47</v>
      </c>
      <c r="J7" s="35"/>
      <c r="K7" s="33" t="s">
        <v>48</v>
      </c>
      <c r="L7" s="35"/>
    </row>
    <row r="8" spans="1:12" ht="14.25">
      <c r="A8" s="29"/>
      <c r="B8" s="30"/>
      <c r="C8" s="26" t="s">
        <v>49</v>
      </c>
      <c r="D8" s="14"/>
      <c r="E8" s="14"/>
      <c r="F8" s="14" t="s">
        <v>50</v>
      </c>
      <c r="G8" s="14"/>
      <c r="H8" s="14"/>
      <c r="I8" s="14"/>
      <c r="J8" s="14"/>
      <c r="K8" s="36"/>
      <c r="L8" s="14"/>
    </row>
    <row r="9" spans="1:12" ht="14.25">
      <c r="A9" s="31"/>
      <c r="B9" s="32"/>
      <c r="C9" s="16" t="s">
        <v>51</v>
      </c>
      <c r="D9" s="16" t="s">
        <v>52</v>
      </c>
      <c r="E9" s="16" t="s">
        <v>21</v>
      </c>
      <c r="F9" s="16" t="s">
        <v>53</v>
      </c>
      <c r="G9" s="16" t="s">
        <v>52</v>
      </c>
      <c r="H9" s="16" t="s">
        <v>21</v>
      </c>
      <c r="I9" s="16" t="s">
        <v>52</v>
      </c>
      <c r="J9" s="16" t="s">
        <v>21</v>
      </c>
      <c r="K9" s="16" t="s">
        <v>52</v>
      </c>
      <c r="L9" s="16" t="s">
        <v>21</v>
      </c>
    </row>
    <row r="10" spans="1:12" ht="14.25">
      <c r="A10" s="27" t="s">
        <v>309</v>
      </c>
      <c r="B10" s="28"/>
      <c r="C10" s="14"/>
      <c r="D10" s="29"/>
      <c r="E10" s="29"/>
      <c r="F10" s="29"/>
      <c r="G10" s="29"/>
      <c r="H10" s="29"/>
      <c r="I10" s="29"/>
      <c r="J10" s="29"/>
      <c r="K10" s="29"/>
      <c r="L10" s="15"/>
    </row>
    <row r="11" spans="1:12" ht="14.25">
      <c r="A11" s="29" t="s">
        <v>54</v>
      </c>
      <c r="B11" s="30"/>
      <c r="C11" s="15"/>
      <c r="D11" s="29"/>
      <c r="E11" s="29"/>
      <c r="F11" s="29"/>
      <c r="G11" s="29"/>
      <c r="H11" s="29"/>
      <c r="I11" s="29"/>
      <c r="J11" s="29"/>
      <c r="K11" s="29"/>
      <c r="L11" s="15"/>
    </row>
    <row r="12" spans="1:12" ht="14.25">
      <c r="A12" s="29" t="s">
        <v>55</v>
      </c>
      <c r="B12" s="30"/>
      <c r="C12" s="37"/>
      <c r="D12" s="39"/>
      <c r="E12" s="39"/>
      <c r="F12" s="39"/>
      <c r="G12" s="39"/>
      <c r="H12" s="39"/>
      <c r="I12" s="39"/>
      <c r="J12" s="39"/>
      <c r="K12" s="39"/>
      <c r="L12" s="37"/>
    </row>
    <row r="13" spans="1:13" ht="14.25">
      <c r="A13" s="31" t="s">
        <v>56</v>
      </c>
      <c r="B13" s="32"/>
      <c r="C13" s="38">
        <v>14</v>
      </c>
      <c r="D13" s="40">
        <f>'ЗОШ 11-12'!M25</f>
        <v>98</v>
      </c>
      <c r="E13" s="40">
        <f>'ЗОШ 11-12'!N25</f>
        <v>2126</v>
      </c>
      <c r="F13" s="40">
        <f>'ЗОШ 11-12'!D25</f>
        <v>110</v>
      </c>
      <c r="G13" s="40">
        <f>'ЗОШ 11-12'!Y25</f>
        <v>110</v>
      </c>
      <c r="H13" s="40">
        <f>'ЗОШ 11-12'!Z25</f>
        <v>2573</v>
      </c>
      <c r="I13" s="40">
        <f>'ЗОШ 11-12'!AG25</f>
        <v>28</v>
      </c>
      <c r="J13" s="40">
        <f>'ЗОШ 11-12'!AH25</f>
        <v>546</v>
      </c>
      <c r="K13" s="40">
        <f>'ЗОШ 11-12'!AI25</f>
        <v>236</v>
      </c>
      <c r="L13" s="38">
        <f>'ЗОШ 11-12'!AJ25</f>
        <v>5245</v>
      </c>
      <c r="M13" s="31"/>
    </row>
    <row r="14" spans="1:12" ht="14.25">
      <c r="A14" s="27"/>
      <c r="B14" s="28"/>
      <c r="C14" s="39"/>
      <c r="D14" s="39"/>
      <c r="E14" s="39"/>
      <c r="F14" s="39"/>
      <c r="G14" s="39"/>
      <c r="H14" s="39"/>
      <c r="I14" s="39"/>
      <c r="J14" s="39"/>
      <c r="K14" s="39"/>
      <c r="L14" s="37"/>
    </row>
    <row r="15" spans="1:12" ht="14.25">
      <c r="A15" s="29" t="s">
        <v>57</v>
      </c>
      <c r="B15" s="30"/>
      <c r="C15" s="39"/>
      <c r="D15" s="39"/>
      <c r="E15" s="39"/>
      <c r="F15" s="39"/>
      <c r="G15" s="39"/>
      <c r="H15" s="39"/>
      <c r="I15" s="39"/>
      <c r="J15" s="39"/>
      <c r="K15" s="39"/>
      <c r="L15" s="37"/>
    </row>
    <row r="16" spans="1:12" ht="14.25">
      <c r="A16" s="31" t="s">
        <v>58</v>
      </c>
      <c r="B16" s="32"/>
      <c r="C16" s="40">
        <v>2</v>
      </c>
      <c r="D16" s="40">
        <f>'ЗОШ 11-12'!M22+'ЗОШ 11-12'!M23</f>
        <v>7</v>
      </c>
      <c r="E16" s="40">
        <f>'ЗОШ 11-12'!N22+'ЗОШ 11-12'!N23</f>
        <v>58</v>
      </c>
      <c r="F16" s="40"/>
      <c r="G16" s="40"/>
      <c r="H16" s="40"/>
      <c r="I16" s="40"/>
      <c r="J16" s="40"/>
      <c r="K16" s="40">
        <f>D16+G16+I16</f>
        <v>7</v>
      </c>
      <c r="L16" s="38">
        <f>E16+H16+J16</f>
        <v>58</v>
      </c>
    </row>
    <row r="17" spans="1:12" ht="14.25">
      <c r="A17" s="27"/>
      <c r="B17" s="28"/>
      <c r="C17" s="39"/>
      <c r="D17" s="39"/>
      <c r="E17" s="39"/>
      <c r="F17" s="39"/>
      <c r="G17" s="39"/>
      <c r="H17" s="39"/>
      <c r="I17" s="39"/>
      <c r="J17" s="39"/>
      <c r="K17" s="39"/>
      <c r="L17" s="37"/>
    </row>
    <row r="18" spans="1:12" ht="14.25">
      <c r="A18" s="29" t="s">
        <v>59</v>
      </c>
      <c r="B18" s="30"/>
      <c r="C18" s="39"/>
      <c r="D18" s="39"/>
      <c r="E18" s="39"/>
      <c r="F18" s="39"/>
      <c r="G18" s="39"/>
      <c r="H18" s="39"/>
      <c r="I18" s="39"/>
      <c r="J18" s="39"/>
      <c r="K18" s="39"/>
      <c r="L18" s="37"/>
    </row>
    <row r="19" spans="1:12" ht="14.25">
      <c r="A19" s="31" t="s">
        <v>60</v>
      </c>
      <c r="B19" s="32"/>
      <c r="C19" s="40">
        <v>1</v>
      </c>
      <c r="D19" s="40">
        <f>'ЗОШ 11-12'!M19</f>
        <v>4</v>
      </c>
      <c r="E19" s="40">
        <f>'ЗОШ 11-12'!N19</f>
        <v>38</v>
      </c>
      <c r="F19" s="40"/>
      <c r="G19" s="40">
        <f>'ЗОШ 11-12'!Y19</f>
        <v>4</v>
      </c>
      <c r="H19" s="40">
        <f>'ЗОШ 11-12'!Z19</f>
        <v>31</v>
      </c>
      <c r="I19" s="40"/>
      <c r="J19" s="40"/>
      <c r="K19" s="40">
        <f>D19+G19+I19</f>
        <v>8</v>
      </c>
      <c r="L19" s="38">
        <f>E19+H19+J19</f>
        <v>69</v>
      </c>
    </row>
    <row r="20" spans="1:12" ht="14.25">
      <c r="A20" s="27"/>
      <c r="B20" s="28"/>
      <c r="C20" s="39"/>
      <c r="D20" s="39"/>
      <c r="E20" s="39"/>
      <c r="F20" s="39"/>
      <c r="G20" s="39"/>
      <c r="H20" s="39"/>
      <c r="I20" s="39"/>
      <c r="J20" s="39"/>
      <c r="K20" s="39"/>
      <c r="L20" s="37"/>
    </row>
    <row r="21" spans="1:12" ht="15" thickBot="1">
      <c r="A21" s="31" t="s">
        <v>60</v>
      </c>
      <c r="B21" s="32"/>
      <c r="C21" s="40">
        <v>11</v>
      </c>
      <c r="D21" s="40">
        <f>'ЗОШ 11-12'!M25-'ЗОШ 11-12'!M22-'ЗОШ 11-12'!M23-'ЗОШ 11-12'!M19</f>
        <v>87</v>
      </c>
      <c r="E21" s="40">
        <f>'ЗОШ 11-12'!N25-'ЗОШ 11-12'!N22-'ЗОШ 11-12'!N23-'ЗОШ 11-12'!N19</f>
        <v>2030</v>
      </c>
      <c r="F21" s="252">
        <f>'ЗОШ 11-12'!D32-F37</f>
        <v>110</v>
      </c>
      <c r="G21" s="40">
        <f>'ЗОШ 11-12'!Y25-'ЗОШ 11-12'!Y19</f>
        <v>106</v>
      </c>
      <c r="H21" s="40">
        <f>'ЗОШ 11-12'!Z25-'ЗОШ 11-12'!Z19</f>
        <v>2542</v>
      </c>
      <c r="I21" s="40">
        <f>'ЗОШ 11-12'!AG25</f>
        <v>28</v>
      </c>
      <c r="J21" s="40">
        <f>'ЗОШ 11-12'!AH25</f>
        <v>546</v>
      </c>
      <c r="K21" s="40">
        <f>'ЗОШ 11-12'!AI25-'ЗОШ 11-12'!AI23-'ЗОШ 11-12'!AI22-'ЗОШ 11-12'!AI19</f>
        <v>221</v>
      </c>
      <c r="L21" s="38">
        <f>E21+H21+J21</f>
        <v>5118</v>
      </c>
    </row>
    <row r="22" spans="1:12" ht="14.25">
      <c r="A22" s="27"/>
      <c r="B22" s="28"/>
      <c r="C22" s="39"/>
      <c r="D22" s="39"/>
      <c r="E22" s="39"/>
      <c r="F22" s="39"/>
      <c r="G22" s="39"/>
      <c r="H22" s="39"/>
      <c r="I22" s="39"/>
      <c r="J22" s="39"/>
      <c r="K22" s="39"/>
      <c r="L22" s="37"/>
    </row>
    <row r="23" spans="1:12" ht="14.25">
      <c r="A23" s="29" t="s">
        <v>61</v>
      </c>
      <c r="B23" s="30"/>
      <c r="C23" s="39"/>
      <c r="D23" s="39"/>
      <c r="E23" s="39"/>
      <c r="F23" s="39"/>
      <c r="G23" s="39">
        <f>'ЗОШ 11-12'!Y16</f>
        <v>11</v>
      </c>
      <c r="H23" s="39">
        <f>'ЗОШ 11-12'!Z16</f>
        <v>288</v>
      </c>
      <c r="I23" s="39">
        <f>'ЗОШ 11-12'!AG16</f>
        <v>3</v>
      </c>
      <c r="J23" s="39">
        <f>'ЗОШ 11-12'!AH16</f>
        <v>67</v>
      </c>
      <c r="K23" s="39">
        <f>D23+G23+I23</f>
        <v>14</v>
      </c>
      <c r="L23" s="37">
        <f>E23+H23+J23</f>
        <v>355</v>
      </c>
    </row>
    <row r="24" spans="1:12" ht="14.25">
      <c r="A24" s="31" t="s">
        <v>62</v>
      </c>
      <c r="B24" s="32"/>
      <c r="C24" s="40"/>
      <c r="D24" s="40"/>
      <c r="E24" s="40"/>
      <c r="F24" s="40"/>
      <c r="G24" s="40"/>
      <c r="H24" s="40"/>
      <c r="I24" s="40"/>
      <c r="J24" s="40"/>
      <c r="K24" s="40"/>
      <c r="L24" s="38"/>
    </row>
    <row r="25" spans="1:12" ht="14.25">
      <c r="A25" s="27"/>
      <c r="B25" s="28"/>
      <c r="C25" s="39"/>
      <c r="D25" s="39"/>
      <c r="E25" s="39"/>
      <c r="F25" s="39"/>
      <c r="G25" s="41"/>
      <c r="H25" s="41"/>
      <c r="I25" s="39"/>
      <c r="J25" s="39"/>
      <c r="K25" s="39"/>
      <c r="L25" s="37"/>
    </row>
    <row r="26" spans="1:12" ht="14.25">
      <c r="A26" s="31" t="s">
        <v>63</v>
      </c>
      <c r="B26" s="32"/>
      <c r="C26" s="40"/>
      <c r="D26" s="40"/>
      <c r="E26" s="40"/>
      <c r="F26" s="40"/>
      <c r="G26" s="40">
        <f>'ЗОШ 11-12'!Y20</f>
        <v>4</v>
      </c>
      <c r="H26" s="40">
        <f>'ЗОШ 11-12'!Z20</f>
        <v>90</v>
      </c>
      <c r="I26" s="40">
        <f>'ЗОШ 11-12'!AG20</f>
        <v>4</v>
      </c>
      <c r="J26" s="40">
        <f>'ЗОШ 11-12'!AH20</f>
        <v>75</v>
      </c>
      <c r="K26" s="40">
        <f>D26+G26+I26</f>
        <v>8</v>
      </c>
      <c r="L26" s="38">
        <f>E26+H26+J26</f>
        <v>165</v>
      </c>
    </row>
    <row r="27" spans="1:12" ht="14.25">
      <c r="A27" s="27"/>
      <c r="B27" s="28"/>
      <c r="C27" s="39"/>
      <c r="D27" s="39"/>
      <c r="E27" s="39"/>
      <c r="F27" s="39"/>
      <c r="G27" s="39"/>
      <c r="H27" s="39"/>
      <c r="I27" s="39"/>
      <c r="J27" s="39"/>
      <c r="K27" s="39"/>
      <c r="L27" s="37"/>
    </row>
    <row r="28" spans="1:12" ht="14.25" customHeight="1" hidden="1">
      <c r="A28" s="27" t="s">
        <v>64</v>
      </c>
      <c r="B28" s="28"/>
      <c r="C28" s="39"/>
      <c r="D28" s="39"/>
      <c r="E28" s="39"/>
      <c r="F28" s="39"/>
      <c r="G28" s="39"/>
      <c r="H28" s="39"/>
      <c r="I28" s="39"/>
      <c r="J28" s="39"/>
      <c r="K28" s="39"/>
      <c r="L28" s="37"/>
    </row>
    <row r="29" spans="1:12" ht="14.25" customHeight="1" hidden="1">
      <c r="A29" s="29" t="s">
        <v>65</v>
      </c>
      <c r="B29" s="30"/>
      <c r="C29" s="39">
        <v>1</v>
      </c>
      <c r="D29" s="39" t="e">
        <f>'ЗОШ 11-12'!#REF!</f>
        <v>#REF!</v>
      </c>
      <c r="E29" s="39" t="e">
        <f>'ЗОШ 11-12'!#REF!</f>
        <v>#REF!</v>
      </c>
      <c r="F29" s="41"/>
      <c r="G29" s="39" t="e">
        <f>'ЗОШ 11-12'!#REF!</f>
        <v>#REF!</v>
      </c>
      <c r="H29" s="39" t="e">
        <f>'ЗОШ 11-12'!#REF!</f>
        <v>#REF!</v>
      </c>
      <c r="I29" s="39" t="e">
        <f>'ЗОШ 11-12'!#REF!</f>
        <v>#REF!</v>
      </c>
      <c r="J29" s="39" t="e">
        <f>'ЗОШ 11-12'!#REF!</f>
        <v>#REF!</v>
      </c>
      <c r="K29" s="39" t="e">
        <f aca="true" t="shared" si="0" ref="K29:L32">D29+G29+I29</f>
        <v>#REF!</v>
      </c>
      <c r="L29" s="37" t="e">
        <f t="shared" si="0"/>
        <v>#REF!</v>
      </c>
    </row>
    <row r="30" spans="1:12" ht="14.25" customHeight="1" hidden="1">
      <c r="A30" s="31"/>
      <c r="B30" s="32"/>
      <c r="C30" s="40"/>
      <c r="D30" s="42"/>
      <c r="E30" s="40"/>
      <c r="F30" s="42"/>
      <c r="G30" s="42"/>
      <c r="H30" s="40"/>
      <c r="I30" s="40"/>
      <c r="J30" s="40"/>
      <c r="K30" s="40"/>
      <c r="L30" s="38"/>
    </row>
    <row r="31" spans="1:12" ht="14.25" customHeight="1" hidden="1">
      <c r="A31" s="27" t="s">
        <v>66</v>
      </c>
      <c r="B31" s="28"/>
      <c r="C31" s="39"/>
      <c r="D31" s="39"/>
      <c r="E31" s="39"/>
      <c r="F31" s="41"/>
      <c r="G31" s="39"/>
      <c r="H31" s="39"/>
      <c r="I31" s="39"/>
      <c r="J31" s="39"/>
      <c r="K31" s="39"/>
      <c r="L31" s="37"/>
    </row>
    <row r="32" spans="1:12" ht="14.25" customHeight="1" hidden="1">
      <c r="A32" s="31" t="s">
        <v>67</v>
      </c>
      <c r="B32" s="32"/>
      <c r="C32" s="40">
        <v>1</v>
      </c>
      <c r="D32" s="40" t="e">
        <f>'ЗОШ 11-12'!#REF!</f>
        <v>#REF!</v>
      </c>
      <c r="E32" s="40" t="e">
        <f>'ЗОШ 11-12'!#REF!</f>
        <v>#REF!</v>
      </c>
      <c r="F32" s="42"/>
      <c r="G32" s="40" t="e">
        <f>'ЗОШ 11-12'!#REF!</f>
        <v>#REF!</v>
      </c>
      <c r="H32" s="40" t="e">
        <f>'ЗОШ 11-12'!#REF!</f>
        <v>#REF!</v>
      </c>
      <c r="I32" s="40"/>
      <c r="J32" s="40"/>
      <c r="K32" s="40" t="e">
        <f t="shared" si="0"/>
        <v>#REF!</v>
      </c>
      <c r="L32" s="38" t="e">
        <f t="shared" si="0"/>
        <v>#REF!</v>
      </c>
    </row>
    <row r="33" spans="1:12" ht="14.25" customHeight="1" hidden="1">
      <c r="A33" s="27"/>
      <c r="B33" s="28"/>
      <c r="C33" s="39"/>
      <c r="D33" s="39"/>
      <c r="E33" s="39"/>
      <c r="F33" s="39"/>
      <c r="G33" s="39"/>
      <c r="H33" s="39"/>
      <c r="I33" s="39"/>
      <c r="J33" s="39"/>
      <c r="K33" s="39"/>
      <c r="L33" s="37"/>
    </row>
    <row r="34" spans="1:12" ht="14.25" customHeight="1" hidden="1">
      <c r="A34" s="31" t="s">
        <v>41</v>
      </c>
      <c r="B34" s="32"/>
      <c r="C34" s="40">
        <f>SUM(C28:C33)</f>
        <v>2</v>
      </c>
      <c r="D34" s="40" t="e">
        <f aca="true" t="shared" si="1" ref="D34:L34">SUM(D28:D33)</f>
        <v>#REF!</v>
      </c>
      <c r="E34" s="40" t="e">
        <f t="shared" si="1"/>
        <v>#REF!</v>
      </c>
      <c r="F34" s="40">
        <f t="shared" si="1"/>
        <v>0</v>
      </c>
      <c r="G34" s="40" t="e">
        <f t="shared" si="1"/>
        <v>#REF!</v>
      </c>
      <c r="H34" s="40" t="e">
        <f t="shared" si="1"/>
        <v>#REF!</v>
      </c>
      <c r="I34" s="40" t="e">
        <f t="shared" si="1"/>
        <v>#REF!</v>
      </c>
      <c r="J34" s="40" t="e">
        <f t="shared" si="1"/>
        <v>#REF!</v>
      </c>
      <c r="K34" s="40" t="e">
        <f t="shared" si="1"/>
        <v>#REF!</v>
      </c>
      <c r="L34" s="38" t="e">
        <f t="shared" si="1"/>
        <v>#REF!</v>
      </c>
    </row>
    <row r="35" spans="1:12" ht="14.25">
      <c r="A35" s="27" t="s">
        <v>309</v>
      </c>
      <c r="B35" s="28"/>
      <c r="C35" s="27"/>
      <c r="D35" s="27"/>
      <c r="E35" s="27"/>
      <c r="F35" s="27"/>
      <c r="G35" s="27"/>
      <c r="H35" s="27"/>
      <c r="I35" s="27"/>
      <c r="J35" s="27"/>
      <c r="K35" s="27"/>
      <c r="L35" s="14"/>
    </row>
    <row r="36" spans="1:12" ht="14.25">
      <c r="A36" s="29" t="s">
        <v>54</v>
      </c>
      <c r="B36" s="30"/>
      <c r="C36" s="39"/>
      <c r="D36" s="29"/>
      <c r="E36" s="29"/>
      <c r="F36" s="29"/>
      <c r="G36" s="29"/>
      <c r="H36" s="29"/>
      <c r="I36" s="29"/>
      <c r="J36" s="29"/>
      <c r="K36" s="29"/>
      <c r="L36" s="15"/>
    </row>
    <row r="37" spans="1:13" ht="14.25">
      <c r="A37" s="29" t="s">
        <v>316</v>
      </c>
      <c r="B37" s="30" t="s">
        <v>314</v>
      </c>
      <c r="C37" s="39">
        <v>2</v>
      </c>
      <c r="D37" s="39">
        <f>'ЗОШ 11-12'!M30</f>
        <v>15</v>
      </c>
      <c r="E37" s="39">
        <f>'ЗОШ 11-12'!N30</f>
        <v>352</v>
      </c>
      <c r="F37" s="39">
        <f>'ЗОШ 11-12'!D30</f>
        <v>74</v>
      </c>
      <c r="G37" s="39">
        <f>'ЗОШ 11-12'!Y30</f>
        <v>18</v>
      </c>
      <c r="H37" s="39">
        <f>'ЗОШ 11-12'!Z30</f>
        <v>414</v>
      </c>
      <c r="I37" s="39">
        <f>'ЗОШ 11-12'!AG30</f>
        <v>4</v>
      </c>
      <c r="J37" s="39">
        <f>'ЗОШ 11-12'!AH30</f>
        <v>81</v>
      </c>
      <c r="K37" s="39">
        <f>D37+G37+I37</f>
        <v>37</v>
      </c>
      <c r="L37" s="37">
        <f>E37+H37+J37</f>
        <v>847</v>
      </c>
      <c r="M37" s="29"/>
    </row>
    <row r="38" spans="1:12" ht="14.25">
      <c r="A38" s="31" t="s">
        <v>315</v>
      </c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2"/>
    </row>
    <row r="39" spans="1:12" ht="14.25">
      <c r="A39" s="27"/>
      <c r="B39" s="28"/>
      <c r="C39" s="53"/>
      <c r="D39" s="27"/>
      <c r="E39" s="27"/>
      <c r="F39" s="27"/>
      <c r="G39" s="27"/>
      <c r="H39" s="27"/>
      <c r="I39" s="27"/>
      <c r="J39" s="27"/>
      <c r="K39" s="27"/>
      <c r="L39" s="14"/>
    </row>
    <row r="40" spans="1:13" ht="14.25">
      <c r="A40" s="31" t="s">
        <v>68</v>
      </c>
      <c r="B40" s="32"/>
      <c r="C40" s="40">
        <f aca="true" t="shared" si="2" ref="C40:L40">C37+C13</f>
        <v>16</v>
      </c>
      <c r="D40" s="40">
        <f t="shared" si="2"/>
        <v>113</v>
      </c>
      <c r="E40" s="40">
        <f t="shared" si="2"/>
        <v>2478</v>
      </c>
      <c r="F40" s="40">
        <f t="shared" si="2"/>
        <v>184</v>
      </c>
      <c r="G40" s="40">
        <f t="shared" si="2"/>
        <v>128</v>
      </c>
      <c r="H40" s="40">
        <f t="shared" si="2"/>
        <v>2987</v>
      </c>
      <c r="I40" s="40">
        <f t="shared" si="2"/>
        <v>32</v>
      </c>
      <c r="J40" s="40">
        <f t="shared" si="2"/>
        <v>627</v>
      </c>
      <c r="K40" s="40">
        <f t="shared" si="2"/>
        <v>273</v>
      </c>
      <c r="L40" s="38">
        <f t="shared" si="2"/>
        <v>6092</v>
      </c>
      <c r="M40" s="29"/>
    </row>
    <row r="44" ht="12.75" customHeight="1"/>
    <row r="45" spans="1:8" ht="15" customHeight="1" hidden="1">
      <c r="A45" s="26" t="s">
        <v>42</v>
      </c>
      <c r="H45" s="26" t="s">
        <v>43</v>
      </c>
    </row>
    <row r="46" spans="1:9" s="103" customFormat="1" ht="15" customHeight="1">
      <c r="A46" s="104" t="s">
        <v>305</v>
      </c>
      <c r="B46" s="1"/>
      <c r="C46" s="1"/>
      <c r="D46" s="1"/>
      <c r="I46" s="22"/>
    </row>
    <row r="47" spans="1:11" ht="15" customHeight="1">
      <c r="A47" s="1" t="s">
        <v>188</v>
      </c>
      <c r="B47" s="1"/>
      <c r="C47" s="1"/>
      <c r="I47" s="104" t="s">
        <v>332</v>
      </c>
      <c r="J47" s="104"/>
      <c r="K47" s="22"/>
    </row>
    <row r="48" ht="15" customHeight="1"/>
  </sheetData>
  <printOptions/>
  <pageMargins left="0.6" right="0.1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G7" sqref="G7"/>
    </sheetView>
  </sheetViews>
  <sheetFormatPr defaultColWidth="9.00390625" defaultRowHeight="12.75"/>
  <cols>
    <col min="1" max="1" width="18.125" style="1" customWidth="1"/>
    <col min="2" max="2" width="17.125" style="1" customWidth="1"/>
    <col min="3" max="3" width="13.125" style="1" customWidth="1"/>
    <col min="4" max="4" width="17.875" style="1" customWidth="1"/>
    <col min="5" max="5" width="13.25390625" style="1" customWidth="1"/>
    <col min="6" max="16384" width="9.125" style="1" customWidth="1"/>
  </cols>
  <sheetData>
    <row r="1" spans="4:5" ht="15">
      <c r="D1" s="1" t="s">
        <v>190</v>
      </c>
      <c r="E1"/>
    </row>
    <row r="2" ht="15">
      <c r="E2"/>
    </row>
    <row r="3" spans="4:5" ht="15">
      <c r="D3" s="1" t="s">
        <v>293</v>
      </c>
      <c r="E3"/>
    </row>
    <row r="4" ht="15">
      <c r="E4"/>
    </row>
    <row r="5" spans="4:5" ht="15">
      <c r="D5" s="1" t="s">
        <v>294</v>
      </c>
      <c r="E5"/>
    </row>
    <row r="6" ht="15">
      <c r="E6"/>
    </row>
    <row r="7" ht="15">
      <c r="B7" s="1" t="s">
        <v>336</v>
      </c>
    </row>
    <row r="8" ht="15">
      <c r="A8"/>
    </row>
    <row r="9" spans="1:5" ht="15">
      <c r="A9" s="4" t="s">
        <v>69</v>
      </c>
      <c r="B9" s="6" t="s">
        <v>70</v>
      </c>
      <c r="C9" s="7" t="s">
        <v>71</v>
      </c>
      <c r="D9" s="6" t="s">
        <v>72</v>
      </c>
      <c r="E9" s="8" t="s">
        <v>73</v>
      </c>
    </row>
    <row r="10" spans="1:5" ht="14.25" customHeight="1">
      <c r="A10" s="5"/>
      <c r="B10" s="9" t="s">
        <v>52</v>
      </c>
      <c r="C10" s="10" t="s">
        <v>74</v>
      </c>
      <c r="D10" s="9" t="s">
        <v>75</v>
      </c>
      <c r="E10" s="11"/>
    </row>
    <row r="11" spans="1:5" ht="15.75" customHeight="1">
      <c r="A11" s="2" t="s">
        <v>76</v>
      </c>
      <c r="B11" s="3">
        <v>2</v>
      </c>
      <c r="C11" s="3"/>
      <c r="D11" s="3"/>
      <c r="E11" s="3"/>
    </row>
    <row r="12" spans="1:5" ht="15">
      <c r="A12" s="2"/>
      <c r="B12" s="3"/>
      <c r="C12" s="3"/>
      <c r="D12" s="3"/>
      <c r="E12" s="3"/>
    </row>
    <row r="13" spans="1:5" ht="15">
      <c r="A13" s="2" t="s">
        <v>77</v>
      </c>
      <c r="B13" s="3"/>
      <c r="C13" s="3">
        <v>2</v>
      </c>
      <c r="D13" s="3"/>
      <c r="E13" s="3"/>
    </row>
    <row r="14" spans="1:5" ht="15.75" customHeight="1">
      <c r="A14" s="2"/>
      <c r="B14" s="3"/>
      <c r="C14" s="3"/>
      <c r="D14" s="3"/>
      <c r="E14" s="3"/>
    </row>
    <row r="15" spans="1:5" ht="15.75" customHeight="1">
      <c r="A15" s="2" t="s">
        <v>78</v>
      </c>
      <c r="B15" s="3"/>
      <c r="C15" s="3"/>
      <c r="D15" s="3"/>
      <c r="E15" s="3">
        <v>2</v>
      </c>
    </row>
    <row r="16" spans="1:5" ht="15">
      <c r="A16" s="2"/>
      <c r="B16" s="3"/>
      <c r="C16" s="3"/>
      <c r="D16" s="3"/>
      <c r="E16" s="3"/>
    </row>
    <row r="17" spans="1:5" ht="15">
      <c r="A17" s="2" t="s">
        <v>80</v>
      </c>
      <c r="B17" s="3"/>
      <c r="C17" s="3"/>
      <c r="D17" s="3"/>
      <c r="E17" s="3">
        <v>1</v>
      </c>
    </row>
    <row r="18" spans="1:5" ht="15">
      <c r="A18" s="2"/>
      <c r="B18" s="3"/>
      <c r="C18" s="3"/>
      <c r="D18" s="3"/>
      <c r="E18" s="3"/>
    </row>
    <row r="19" spans="1:5" ht="15">
      <c r="A19" s="2" t="s">
        <v>298</v>
      </c>
      <c r="B19" s="3">
        <v>6</v>
      </c>
      <c r="C19" s="3" t="s">
        <v>79</v>
      </c>
      <c r="D19" s="3"/>
      <c r="E19" s="3" t="s">
        <v>79</v>
      </c>
    </row>
    <row r="20" spans="1:5" ht="15">
      <c r="A20" s="2"/>
      <c r="B20" s="3"/>
      <c r="C20" s="3"/>
      <c r="D20" s="3"/>
      <c r="E20" s="3"/>
    </row>
    <row r="21" spans="1:5" ht="15">
      <c r="A21" s="2" t="s">
        <v>81</v>
      </c>
      <c r="B21" s="3">
        <v>2</v>
      </c>
      <c r="C21" s="3" t="s">
        <v>79</v>
      </c>
      <c r="D21" s="3"/>
      <c r="E21" s="3" t="s">
        <v>79</v>
      </c>
    </row>
    <row r="22" spans="1:5" ht="15">
      <c r="A22" s="2"/>
      <c r="B22" s="3"/>
      <c r="C22" s="3"/>
      <c r="D22" s="3"/>
      <c r="E22" s="3"/>
    </row>
    <row r="23" spans="1:5" ht="15">
      <c r="A23" s="2" t="s">
        <v>299</v>
      </c>
      <c r="B23" s="3" t="s">
        <v>79</v>
      </c>
      <c r="C23" s="3"/>
      <c r="D23" s="3"/>
      <c r="E23" s="3" t="s">
        <v>79</v>
      </c>
    </row>
    <row r="24" spans="1:5" ht="15.75" customHeight="1">
      <c r="A24" s="2"/>
      <c r="B24" s="3"/>
      <c r="C24" s="3"/>
      <c r="D24" s="3"/>
      <c r="E24" s="3"/>
    </row>
    <row r="25" spans="1:5" ht="16.5" customHeight="1">
      <c r="A25" s="2" t="s">
        <v>82</v>
      </c>
      <c r="B25" s="3"/>
      <c r="C25" s="3">
        <v>27</v>
      </c>
      <c r="D25" s="3" t="s">
        <v>79</v>
      </c>
      <c r="E25" s="3" t="s">
        <v>79</v>
      </c>
    </row>
    <row r="26" spans="1:5" ht="15">
      <c r="A26" s="2"/>
      <c r="B26" s="3"/>
      <c r="C26" s="3"/>
      <c r="D26" s="3"/>
      <c r="E26" s="3"/>
    </row>
    <row r="27" spans="1:5" ht="15">
      <c r="A27" s="2" t="s">
        <v>83</v>
      </c>
      <c r="B27" s="3"/>
      <c r="C27" s="3">
        <v>16</v>
      </c>
      <c r="D27" s="3"/>
      <c r="E27" s="3"/>
    </row>
    <row r="28" spans="1:5" ht="15">
      <c r="A28" s="2"/>
      <c r="B28" s="3"/>
      <c r="C28" s="3"/>
      <c r="D28" s="3"/>
      <c r="E28" s="3"/>
    </row>
    <row r="29" spans="1:5" ht="15">
      <c r="A29" s="2" t="s">
        <v>84</v>
      </c>
      <c r="B29" s="3">
        <v>1</v>
      </c>
      <c r="C29" s="3"/>
      <c r="D29" s="3"/>
      <c r="E29" s="3">
        <v>1</v>
      </c>
    </row>
    <row r="30" spans="1:5" ht="15">
      <c r="A30" s="2"/>
      <c r="B30" s="3"/>
      <c r="C30" s="3"/>
      <c r="D30" s="3"/>
      <c r="E30" s="3"/>
    </row>
    <row r="31" spans="1:5" ht="15">
      <c r="A31" s="2" t="s">
        <v>85</v>
      </c>
      <c r="B31" s="3" t="s">
        <v>79</v>
      </c>
      <c r="C31" s="3" t="s">
        <v>79</v>
      </c>
      <c r="D31" s="3">
        <v>8</v>
      </c>
      <c r="E31" s="3" t="s">
        <v>79</v>
      </c>
    </row>
    <row r="32" spans="1:5" ht="13.5" customHeight="1">
      <c r="A32" s="2"/>
      <c r="B32" s="3"/>
      <c r="C32" s="3"/>
      <c r="D32" s="3"/>
      <c r="E32" s="3"/>
    </row>
    <row r="33" spans="1:5" ht="1.5" customHeight="1" hidden="1">
      <c r="A33" s="2" t="s">
        <v>291</v>
      </c>
      <c r="B33" s="3"/>
      <c r="C33" s="3"/>
      <c r="D33" s="3"/>
      <c r="E33" s="3"/>
    </row>
    <row r="34" spans="1:5" ht="15">
      <c r="A34" s="2"/>
      <c r="B34" s="3"/>
      <c r="C34" s="3"/>
      <c r="D34" s="3"/>
      <c r="E34" s="3"/>
    </row>
    <row r="35" spans="1:5" ht="33.75" customHeight="1">
      <c r="A35" s="2" t="s">
        <v>86</v>
      </c>
      <c r="B35" s="3">
        <f>SUM(B11:B34)</f>
        <v>11</v>
      </c>
      <c r="C35" s="3">
        <f>SUM(C11:C34)</f>
        <v>45</v>
      </c>
      <c r="D35" s="3">
        <f>SUM(D11:D34)</f>
        <v>8</v>
      </c>
      <c r="E35" s="3">
        <f>SUM(E11:E34)</f>
        <v>4</v>
      </c>
    </row>
    <row r="40" ht="12.75"/>
    <row r="43" ht="13.5" customHeight="1"/>
    <row r="44" spans="1:5" ht="15" hidden="1">
      <c r="A44" s="1" t="s">
        <v>42</v>
      </c>
      <c r="E44" s="1" t="s">
        <v>87</v>
      </c>
    </row>
    <row r="45" spans="1:5" ht="15">
      <c r="A45" s="104" t="s">
        <v>305</v>
      </c>
      <c r="E45" s="104"/>
    </row>
    <row r="46" spans="1:6" ht="15">
      <c r="A46" s="1" t="s">
        <v>188</v>
      </c>
      <c r="B46" s="1" t="s">
        <v>88</v>
      </c>
      <c r="D46" s="104" t="s">
        <v>332</v>
      </c>
      <c r="E46" s="104"/>
      <c r="F46" s="22"/>
    </row>
  </sheetData>
  <printOptions/>
  <pageMargins left="0.98" right="0.17" top="1" bottom="1" header="0.5" footer="0.5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68"/>
  <sheetViews>
    <sheetView workbookViewId="0" topLeftCell="A1">
      <selection activeCell="C41" sqref="C41"/>
    </sheetView>
  </sheetViews>
  <sheetFormatPr defaultColWidth="9.00390625" defaultRowHeight="12.75"/>
  <cols>
    <col min="1" max="1" width="14.125" style="57" customWidth="1"/>
    <col min="2" max="2" width="5.25390625" style="57" customWidth="1"/>
    <col min="3" max="3" width="5.125" style="57" customWidth="1"/>
    <col min="4" max="4" width="4.75390625" style="57" customWidth="1"/>
    <col min="5" max="7" width="5.125" style="57" customWidth="1"/>
    <col min="8" max="8" width="4.25390625" style="78" customWidth="1"/>
    <col min="9" max="9" width="5.625" style="57" customWidth="1"/>
    <col min="10" max="10" width="4.125" style="78" customWidth="1"/>
    <col min="11" max="13" width="5.375" style="57" customWidth="1"/>
    <col min="14" max="14" width="4.125" style="57" customWidth="1"/>
    <col min="15" max="15" width="4.25390625" style="57" customWidth="1"/>
    <col min="16" max="16" width="3.75390625" style="57" customWidth="1"/>
    <col min="17" max="17" width="4.375" style="57" customWidth="1"/>
    <col min="18" max="21" width="4.25390625" style="57" customWidth="1"/>
    <col min="22" max="22" width="3.75390625" style="57" customWidth="1"/>
    <col min="23" max="23" width="4.625" style="57" customWidth="1"/>
    <col min="24" max="24" width="3.875" style="57" customWidth="1"/>
    <col min="25" max="25" width="4.25390625" style="57" customWidth="1"/>
    <col min="26" max="26" width="3.75390625" style="57" customWidth="1"/>
    <col min="27" max="27" width="4.125" style="57" customWidth="1"/>
    <col min="28" max="28" width="4.75390625" style="57" customWidth="1"/>
    <col min="29" max="29" width="4.625" style="57" customWidth="1"/>
    <col min="30" max="30" width="3.625" style="57" hidden="1" customWidth="1"/>
    <col min="31" max="31" width="0.2421875" style="57" customWidth="1"/>
    <col min="32" max="32" width="3.875" style="57" customWidth="1"/>
    <col min="33" max="33" width="4.375" style="57" customWidth="1"/>
    <col min="34" max="34" width="4.25390625" style="57" customWidth="1"/>
    <col min="35" max="35" width="4.125" style="57" customWidth="1"/>
    <col min="36" max="36" width="3.625" style="57" customWidth="1"/>
    <col min="37" max="37" width="4.625" style="57" customWidth="1"/>
    <col min="38" max="39" width="0" style="57" hidden="1" customWidth="1"/>
    <col min="40" max="40" width="9.125" style="265" customWidth="1"/>
    <col min="41" max="41" width="3.125" style="0" customWidth="1"/>
    <col min="42" max="42" width="10.75390625" style="0" customWidth="1"/>
    <col min="43" max="43" width="3.625" style="0" customWidth="1"/>
    <col min="44" max="44" width="4.25390625" style="0" customWidth="1"/>
    <col min="51" max="16384" width="9.125" style="57" customWidth="1"/>
  </cols>
  <sheetData>
    <row r="1" spans="1:33" ht="12.75">
      <c r="A1" s="55"/>
      <c r="B1" s="55"/>
      <c r="C1" s="55"/>
      <c r="D1" s="55"/>
      <c r="E1" s="55"/>
      <c r="F1" s="55"/>
      <c r="G1" s="55"/>
      <c r="H1" s="55"/>
      <c r="I1" s="55"/>
      <c r="J1" s="56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 t="s">
        <v>190</v>
      </c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33" ht="11.25" customHeight="1">
      <c r="A2" s="55"/>
      <c r="B2" s="55" t="s">
        <v>329</v>
      </c>
      <c r="C2" s="55"/>
      <c r="D2" s="55"/>
      <c r="E2" s="55"/>
      <c r="F2" s="55"/>
      <c r="G2" s="55"/>
      <c r="H2" s="56"/>
      <c r="I2" s="55"/>
      <c r="J2" s="58"/>
      <c r="K2" s="55"/>
      <c r="L2" s="55"/>
      <c r="M2" s="55"/>
      <c r="N2" s="55"/>
      <c r="O2" s="55"/>
      <c r="P2" s="55"/>
      <c r="Q2" s="55"/>
      <c r="R2" s="55"/>
      <c r="S2" s="55"/>
      <c r="T2" s="55"/>
      <c r="U2" s="57" t="s">
        <v>191</v>
      </c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1:33" ht="12.75" customHeight="1">
      <c r="A3" s="55"/>
      <c r="B3" s="55"/>
      <c r="C3" s="55"/>
      <c r="D3" s="55"/>
      <c r="E3" s="55"/>
      <c r="F3" s="55"/>
      <c r="G3" s="55"/>
      <c r="H3" s="56"/>
      <c r="I3" s="55"/>
      <c r="J3" s="58"/>
      <c r="K3" s="55"/>
      <c r="L3" s="55"/>
      <c r="M3" s="55"/>
      <c r="N3" s="55"/>
      <c r="O3" s="55"/>
      <c r="P3" s="55"/>
      <c r="Q3" s="55"/>
      <c r="R3" s="55"/>
      <c r="S3" s="55"/>
      <c r="T3" s="55"/>
      <c r="U3" s="57" t="s">
        <v>0</v>
      </c>
      <c r="V3" s="263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</row>
    <row r="4" spans="1:10" ht="12.75" customHeight="1" thickBot="1">
      <c r="A4" s="187"/>
      <c r="B4" s="188"/>
      <c r="C4" s="188"/>
      <c r="D4" s="188"/>
      <c r="E4" s="188"/>
      <c r="F4" s="188"/>
      <c r="G4" s="188"/>
      <c r="H4" s="189"/>
      <c r="I4" s="188"/>
      <c r="J4" s="189"/>
    </row>
    <row r="5" spans="1:37" ht="12.75" customHeight="1" thickBot="1">
      <c r="A5" s="190" t="s">
        <v>89</v>
      </c>
      <c r="B5" s="191" t="s">
        <v>90</v>
      </c>
      <c r="C5" s="191"/>
      <c r="D5" s="192" t="s">
        <v>91</v>
      </c>
      <c r="E5" s="193"/>
      <c r="F5" s="191" t="s">
        <v>295</v>
      </c>
      <c r="G5" s="191"/>
      <c r="H5" s="194" t="s">
        <v>92</v>
      </c>
      <c r="I5" s="193"/>
      <c r="J5" s="195"/>
      <c r="K5" s="196"/>
      <c r="L5" s="196"/>
      <c r="M5" s="196"/>
      <c r="N5" s="196" t="s">
        <v>93</v>
      </c>
      <c r="O5" s="196" t="s">
        <v>94</v>
      </c>
      <c r="P5" s="196" t="s">
        <v>95</v>
      </c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7"/>
      <c r="AB5" s="198"/>
      <c r="AC5" s="196"/>
      <c r="AD5" s="196"/>
      <c r="AE5" s="196" t="s">
        <v>96</v>
      </c>
      <c r="AF5" s="196"/>
      <c r="AG5" s="196"/>
      <c r="AH5" s="196"/>
      <c r="AI5" s="196"/>
      <c r="AJ5" s="196"/>
      <c r="AK5" s="197"/>
    </row>
    <row r="6" spans="1:37" ht="13.5" customHeight="1" thickBot="1">
      <c r="A6" s="199" t="s">
        <v>97</v>
      </c>
      <c r="B6" s="55"/>
      <c r="C6" s="55"/>
      <c r="D6" s="54"/>
      <c r="E6" s="200"/>
      <c r="F6" s="55"/>
      <c r="G6" s="55"/>
      <c r="H6" s="54"/>
      <c r="I6" s="200"/>
      <c r="J6" s="195"/>
      <c r="K6" s="196"/>
      <c r="L6" s="196"/>
      <c r="M6" s="196"/>
      <c r="N6" s="196" t="s">
        <v>98</v>
      </c>
      <c r="O6" s="196"/>
      <c r="P6" s="196"/>
      <c r="Q6" s="196"/>
      <c r="R6" s="198"/>
      <c r="S6" s="196" t="s">
        <v>99</v>
      </c>
      <c r="T6" s="196"/>
      <c r="U6" s="196"/>
      <c r="V6" s="196"/>
      <c r="W6" s="197"/>
      <c r="X6" s="198"/>
      <c r="Y6" s="196" t="s">
        <v>100</v>
      </c>
      <c r="Z6" s="196"/>
      <c r="AA6" s="197"/>
      <c r="AB6" s="192"/>
      <c r="AC6" s="191" t="s">
        <v>101</v>
      </c>
      <c r="AD6" s="191"/>
      <c r="AE6" s="193"/>
      <c r="AF6" s="192" t="s">
        <v>102</v>
      </c>
      <c r="AG6" s="191"/>
      <c r="AH6" s="191"/>
      <c r="AI6" s="193" t="s">
        <v>103</v>
      </c>
      <c r="AJ6" s="198">
        <v>12</v>
      </c>
      <c r="AK6" s="197" t="s">
        <v>330</v>
      </c>
    </row>
    <row r="7" spans="1:37" ht="12" customHeight="1" thickBot="1">
      <c r="A7" s="199"/>
      <c r="B7" s="55"/>
      <c r="C7" s="55"/>
      <c r="D7" s="54"/>
      <c r="E7" s="200"/>
      <c r="F7" s="55"/>
      <c r="G7" s="55"/>
      <c r="H7" s="187"/>
      <c r="I7" s="201"/>
      <c r="J7" s="202" t="s">
        <v>104</v>
      </c>
      <c r="K7" s="197"/>
      <c r="L7" s="55" t="s">
        <v>105</v>
      </c>
      <c r="M7" s="55"/>
      <c r="N7" s="198" t="s">
        <v>106</v>
      </c>
      <c r="O7" s="197"/>
      <c r="P7" s="196" t="s">
        <v>107</v>
      </c>
      <c r="Q7" s="196"/>
      <c r="R7" s="198" t="s">
        <v>108</v>
      </c>
      <c r="S7" s="197"/>
      <c r="T7" s="196" t="s">
        <v>110</v>
      </c>
      <c r="U7" s="197"/>
      <c r="V7" s="196" t="s">
        <v>198</v>
      </c>
      <c r="W7" s="197"/>
      <c r="X7" s="55" t="s">
        <v>109</v>
      </c>
      <c r="Y7" s="197"/>
      <c r="Z7" s="196" t="s">
        <v>110</v>
      </c>
      <c r="AA7" s="197"/>
      <c r="AB7" s="198">
        <v>10.5</v>
      </c>
      <c r="AC7" s="197"/>
      <c r="AD7" s="198" t="s">
        <v>110</v>
      </c>
      <c r="AE7" s="197"/>
      <c r="AF7" s="198"/>
      <c r="AG7" s="197"/>
      <c r="AH7" s="198" t="s">
        <v>111</v>
      </c>
      <c r="AI7" s="197"/>
      <c r="AJ7" s="198" t="s">
        <v>112</v>
      </c>
      <c r="AK7" s="197"/>
    </row>
    <row r="8" spans="1:37" ht="13.5" customHeight="1" thickBot="1">
      <c r="A8" s="203"/>
      <c r="B8" s="59" t="s">
        <v>113</v>
      </c>
      <c r="C8" s="60" t="s">
        <v>114</v>
      </c>
      <c r="D8" s="59" t="s">
        <v>113</v>
      </c>
      <c r="E8" s="61" t="s">
        <v>114</v>
      </c>
      <c r="F8" s="61" t="s">
        <v>113</v>
      </c>
      <c r="G8" s="61" t="s">
        <v>114</v>
      </c>
      <c r="H8" s="59" t="s">
        <v>113</v>
      </c>
      <c r="I8" s="60" t="s">
        <v>114</v>
      </c>
      <c r="J8" s="59" t="s">
        <v>113</v>
      </c>
      <c r="K8" s="61" t="s">
        <v>114</v>
      </c>
      <c r="L8" s="59" t="s">
        <v>113</v>
      </c>
      <c r="M8" s="61" t="s">
        <v>114</v>
      </c>
      <c r="N8" s="59" t="s">
        <v>113</v>
      </c>
      <c r="O8" s="61" t="s">
        <v>114</v>
      </c>
      <c r="P8" s="59" t="s">
        <v>113</v>
      </c>
      <c r="Q8" s="60" t="s">
        <v>114</v>
      </c>
      <c r="R8" s="59" t="s">
        <v>113</v>
      </c>
      <c r="S8" s="61" t="s">
        <v>114</v>
      </c>
      <c r="T8" s="59" t="s">
        <v>113</v>
      </c>
      <c r="U8" s="61" t="s">
        <v>114</v>
      </c>
      <c r="V8" s="59" t="s">
        <v>113</v>
      </c>
      <c r="W8" s="61" t="s">
        <v>114</v>
      </c>
      <c r="X8" s="59" t="s">
        <v>113</v>
      </c>
      <c r="Y8" s="61" t="s">
        <v>114</v>
      </c>
      <c r="Z8" s="59" t="s">
        <v>113</v>
      </c>
      <c r="AA8" s="61" t="s">
        <v>114</v>
      </c>
      <c r="AB8" s="59" t="s">
        <v>113</v>
      </c>
      <c r="AC8" s="60" t="s">
        <v>114</v>
      </c>
      <c r="AD8" s="59" t="s">
        <v>113</v>
      </c>
      <c r="AE8" s="60" t="s">
        <v>114</v>
      </c>
      <c r="AF8" s="62" t="s">
        <v>113</v>
      </c>
      <c r="AG8" s="59" t="s">
        <v>114</v>
      </c>
      <c r="AH8" s="60" t="s">
        <v>113</v>
      </c>
      <c r="AI8" s="59" t="s">
        <v>114</v>
      </c>
      <c r="AJ8" s="62" t="s">
        <v>113</v>
      </c>
      <c r="AK8" s="59" t="s">
        <v>114</v>
      </c>
    </row>
    <row r="9" spans="1:37" ht="14.25" customHeight="1" thickBot="1">
      <c r="A9" s="54" t="s">
        <v>24</v>
      </c>
      <c r="B9" s="204"/>
      <c r="C9" s="205"/>
      <c r="D9" s="55"/>
      <c r="E9" s="55"/>
      <c r="F9" s="55"/>
      <c r="G9" s="55"/>
      <c r="H9" s="204"/>
      <c r="I9" s="205"/>
      <c r="J9" s="55"/>
      <c r="K9" s="55"/>
      <c r="P9" s="55"/>
      <c r="Q9" s="55"/>
      <c r="R9" s="55"/>
      <c r="S9" s="55"/>
      <c r="T9" s="55"/>
      <c r="U9" s="55"/>
      <c r="V9" s="55"/>
      <c r="W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200"/>
    </row>
    <row r="10" spans="1:71" ht="13.5" customHeight="1" thickBot="1">
      <c r="A10" s="77" t="s">
        <v>115</v>
      </c>
      <c r="B10" s="206">
        <f aca="true" t="shared" si="0" ref="B10:C27">D10+H10+F10</f>
        <v>4</v>
      </c>
      <c r="C10" s="206">
        <f t="shared" si="0"/>
        <v>60</v>
      </c>
      <c r="D10" s="211">
        <f aca="true" t="shared" si="1" ref="D10:E25">J10+N10+P10+R10+V10+X10+Z10+L10+T10-F10</f>
        <v>4</v>
      </c>
      <c r="E10" s="207">
        <f t="shared" si="1"/>
        <v>60</v>
      </c>
      <c r="F10" s="264"/>
      <c r="G10" s="211"/>
      <c r="H10" s="206">
        <f aca="true" t="shared" si="2" ref="H10:I25">AB10+AD10+AF10+AH10+AJ10</f>
        <v>0</v>
      </c>
      <c r="I10" s="77">
        <f t="shared" si="2"/>
        <v>0</v>
      </c>
      <c r="J10" s="208"/>
      <c r="K10" s="77"/>
      <c r="L10" s="207"/>
      <c r="M10" s="207"/>
      <c r="N10" s="65">
        <v>3</v>
      </c>
      <c r="O10" s="63">
        <v>45</v>
      </c>
      <c r="P10" s="65"/>
      <c r="Q10" s="63"/>
      <c r="R10" s="65"/>
      <c r="S10" s="63"/>
      <c r="T10" s="64">
        <v>1</v>
      </c>
      <c r="U10" s="64">
        <v>15</v>
      </c>
      <c r="V10" s="65"/>
      <c r="W10" s="63"/>
      <c r="X10" s="65"/>
      <c r="Y10" s="63"/>
      <c r="Z10" s="65"/>
      <c r="AA10" s="63"/>
      <c r="AB10" s="208"/>
      <c r="AC10" s="77"/>
      <c r="AD10" s="208"/>
      <c r="AE10" s="77"/>
      <c r="AF10" s="208"/>
      <c r="AG10" s="77"/>
      <c r="AH10" s="208"/>
      <c r="AI10" s="77"/>
      <c r="AJ10" s="208"/>
      <c r="AK10" s="77"/>
      <c r="AL10" s="78"/>
      <c r="AM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</row>
    <row r="11" spans="1:71" ht="13.5" customHeight="1" thickBot="1">
      <c r="A11" s="210" t="s">
        <v>116</v>
      </c>
      <c r="B11" s="206">
        <f t="shared" si="0"/>
        <v>11</v>
      </c>
      <c r="C11" s="206">
        <f t="shared" si="0"/>
        <v>190</v>
      </c>
      <c r="D11" s="211">
        <f t="shared" si="1"/>
        <v>6</v>
      </c>
      <c r="E11" s="207">
        <f t="shared" si="1"/>
        <v>115</v>
      </c>
      <c r="F11" s="211"/>
      <c r="G11" s="211"/>
      <c r="H11" s="206">
        <v>5</v>
      </c>
      <c r="I11" s="77">
        <v>75</v>
      </c>
      <c r="J11" s="211">
        <v>4</v>
      </c>
      <c r="K11" s="210">
        <v>80</v>
      </c>
      <c r="L11" s="212"/>
      <c r="M11" s="212"/>
      <c r="N11" s="211"/>
      <c r="O11" s="210"/>
      <c r="P11" s="211"/>
      <c r="Q11" s="210"/>
      <c r="R11" s="211"/>
      <c r="S11" s="210"/>
      <c r="T11" s="212"/>
      <c r="U11" s="212"/>
      <c r="V11" s="211"/>
      <c r="W11" s="210"/>
      <c r="X11" s="211">
        <v>1</v>
      </c>
      <c r="Y11" s="210">
        <v>15</v>
      </c>
      <c r="Z11" s="211">
        <v>1</v>
      </c>
      <c r="AA11" s="210">
        <v>20</v>
      </c>
      <c r="AB11" s="211">
        <v>2</v>
      </c>
      <c r="AC11" s="210">
        <v>30</v>
      </c>
      <c r="AD11" s="211"/>
      <c r="AE11" s="210"/>
      <c r="AF11" s="211">
        <v>2</v>
      </c>
      <c r="AG11" s="210">
        <v>30</v>
      </c>
      <c r="AH11" s="211"/>
      <c r="AI11" s="210"/>
      <c r="AJ11" s="211">
        <v>1</v>
      </c>
      <c r="AK11" s="210">
        <v>15</v>
      </c>
      <c r="AL11" s="78"/>
      <c r="AM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</row>
    <row r="12" spans="1:71" ht="13.5" customHeight="1" thickBot="1">
      <c r="A12" s="210" t="s">
        <v>117</v>
      </c>
      <c r="B12" s="206">
        <f t="shared" si="0"/>
        <v>4</v>
      </c>
      <c r="C12" s="206">
        <f t="shared" si="0"/>
        <v>76</v>
      </c>
      <c r="D12" s="211">
        <f t="shared" si="1"/>
        <v>1</v>
      </c>
      <c r="E12" s="207">
        <f t="shared" si="1"/>
        <v>20</v>
      </c>
      <c r="F12" s="211">
        <v>1</v>
      </c>
      <c r="G12" s="211">
        <v>26</v>
      </c>
      <c r="H12" s="206">
        <f t="shared" si="2"/>
        <v>2</v>
      </c>
      <c r="I12" s="77">
        <f t="shared" si="2"/>
        <v>30</v>
      </c>
      <c r="J12" s="211">
        <v>2</v>
      </c>
      <c r="K12" s="210">
        <v>46</v>
      </c>
      <c r="L12" s="212"/>
      <c r="M12" s="212"/>
      <c r="N12" s="211"/>
      <c r="O12" s="210"/>
      <c r="P12" s="211"/>
      <c r="Q12" s="210"/>
      <c r="R12" s="211"/>
      <c r="S12" s="210"/>
      <c r="T12" s="212"/>
      <c r="U12" s="212"/>
      <c r="V12" s="211"/>
      <c r="W12" s="210"/>
      <c r="X12" s="211"/>
      <c r="Y12" s="210"/>
      <c r="Z12" s="211"/>
      <c r="AA12" s="210"/>
      <c r="AB12" s="211">
        <v>1</v>
      </c>
      <c r="AC12" s="210">
        <v>15</v>
      </c>
      <c r="AD12" s="211"/>
      <c r="AE12" s="210"/>
      <c r="AF12" s="211">
        <v>1</v>
      </c>
      <c r="AG12" s="210">
        <v>15</v>
      </c>
      <c r="AH12" s="211"/>
      <c r="AI12" s="210"/>
      <c r="AJ12" s="211"/>
      <c r="AK12" s="210"/>
      <c r="AL12" s="78"/>
      <c r="AM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</row>
    <row r="13" spans="1:71" s="244" customFormat="1" ht="13.5" customHeight="1" thickBot="1">
      <c r="A13" s="266" t="s">
        <v>118</v>
      </c>
      <c r="B13" s="206">
        <f t="shared" si="0"/>
        <v>7</v>
      </c>
      <c r="C13" s="206">
        <f t="shared" si="0"/>
        <v>125</v>
      </c>
      <c r="D13" s="267">
        <f t="shared" si="1"/>
        <v>4</v>
      </c>
      <c r="E13" s="207">
        <f t="shared" si="1"/>
        <v>80</v>
      </c>
      <c r="F13" s="267"/>
      <c r="G13" s="267"/>
      <c r="H13" s="268">
        <f t="shared" si="2"/>
        <v>3</v>
      </c>
      <c r="I13" s="269">
        <f t="shared" si="2"/>
        <v>45</v>
      </c>
      <c r="J13" s="267">
        <v>3</v>
      </c>
      <c r="K13" s="266">
        <v>60</v>
      </c>
      <c r="L13" s="242"/>
      <c r="M13" s="242"/>
      <c r="N13" s="241"/>
      <c r="O13" s="240"/>
      <c r="P13" s="241"/>
      <c r="Q13" s="240"/>
      <c r="R13" s="211">
        <v>1</v>
      </c>
      <c r="S13" s="210">
        <v>20</v>
      </c>
      <c r="T13" s="212"/>
      <c r="U13" s="242"/>
      <c r="V13" s="241"/>
      <c r="W13" s="240"/>
      <c r="X13" s="241"/>
      <c r="Y13" s="240"/>
      <c r="Z13" s="241"/>
      <c r="AA13" s="240"/>
      <c r="AB13" s="211">
        <v>3</v>
      </c>
      <c r="AC13" s="266">
        <v>45</v>
      </c>
      <c r="AD13" s="241"/>
      <c r="AE13" s="240"/>
      <c r="AF13" s="267"/>
      <c r="AG13" s="266"/>
      <c r="AH13" s="241"/>
      <c r="AI13" s="240"/>
      <c r="AJ13" s="241"/>
      <c r="AK13" s="240"/>
      <c r="AL13" s="243"/>
      <c r="AM13" s="243"/>
      <c r="AN13" s="265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</row>
    <row r="14" spans="1:71" ht="13.5" customHeight="1" thickBot="1">
      <c r="A14" s="210" t="s">
        <v>119</v>
      </c>
      <c r="B14" s="206">
        <f t="shared" si="0"/>
        <v>9</v>
      </c>
      <c r="C14" s="206">
        <f t="shared" si="0"/>
        <v>140</v>
      </c>
      <c r="D14" s="211">
        <f t="shared" si="1"/>
        <v>7</v>
      </c>
      <c r="E14" s="207">
        <f t="shared" si="1"/>
        <v>110</v>
      </c>
      <c r="F14" s="211"/>
      <c r="G14" s="211"/>
      <c r="H14" s="206">
        <f t="shared" si="2"/>
        <v>2</v>
      </c>
      <c r="I14" s="77">
        <f t="shared" si="2"/>
        <v>30</v>
      </c>
      <c r="J14" s="211">
        <v>3</v>
      </c>
      <c r="K14" s="210">
        <v>60</v>
      </c>
      <c r="L14" s="212"/>
      <c r="M14" s="212"/>
      <c r="N14" s="211">
        <v>3</v>
      </c>
      <c r="O14" s="210">
        <v>30</v>
      </c>
      <c r="P14" s="211"/>
      <c r="Q14" s="210"/>
      <c r="R14" s="211">
        <v>1</v>
      </c>
      <c r="S14" s="210">
        <v>20</v>
      </c>
      <c r="T14" s="212"/>
      <c r="U14" s="212"/>
      <c r="V14" s="211"/>
      <c r="W14" s="210"/>
      <c r="X14" s="211"/>
      <c r="Y14" s="210"/>
      <c r="Z14" s="211"/>
      <c r="AA14" s="210"/>
      <c r="AB14" s="211">
        <v>1</v>
      </c>
      <c r="AC14" s="210">
        <v>15</v>
      </c>
      <c r="AD14" s="211"/>
      <c r="AE14" s="210"/>
      <c r="AF14" s="211">
        <v>1</v>
      </c>
      <c r="AG14" s="210">
        <v>15</v>
      </c>
      <c r="AH14" s="211"/>
      <c r="AI14" s="210"/>
      <c r="AJ14" s="211"/>
      <c r="AK14" s="210"/>
      <c r="AL14" s="78"/>
      <c r="AM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</row>
    <row r="15" spans="1:71" ht="13.5" customHeight="1" thickBot="1">
      <c r="A15" s="210" t="s">
        <v>120</v>
      </c>
      <c r="B15" s="206">
        <f t="shared" si="0"/>
        <v>9</v>
      </c>
      <c r="C15" s="206">
        <f t="shared" si="0"/>
        <v>140</v>
      </c>
      <c r="D15" s="211">
        <f t="shared" si="1"/>
        <v>7</v>
      </c>
      <c r="E15" s="207">
        <f t="shared" si="1"/>
        <v>110</v>
      </c>
      <c r="F15" s="211"/>
      <c r="G15" s="211"/>
      <c r="H15" s="206">
        <f t="shared" si="2"/>
        <v>2</v>
      </c>
      <c r="I15" s="77">
        <f t="shared" si="2"/>
        <v>30</v>
      </c>
      <c r="J15" s="211">
        <v>3</v>
      </c>
      <c r="K15" s="210">
        <v>60</v>
      </c>
      <c r="L15" s="212"/>
      <c r="M15" s="212"/>
      <c r="N15" s="211">
        <v>3</v>
      </c>
      <c r="O15" s="210">
        <v>30</v>
      </c>
      <c r="P15" s="211"/>
      <c r="Q15" s="210"/>
      <c r="R15" s="211">
        <f>3-2</f>
        <v>1</v>
      </c>
      <c r="S15" s="210">
        <f>60-40</f>
        <v>20</v>
      </c>
      <c r="T15" s="212"/>
      <c r="U15" s="212"/>
      <c r="V15" s="211"/>
      <c r="W15" s="210"/>
      <c r="X15" s="211"/>
      <c r="Y15" s="210"/>
      <c r="Z15" s="211"/>
      <c r="AA15" s="210"/>
      <c r="AB15" s="211">
        <v>1</v>
      </c>
      <c r="AC15" s="210">
        <v>15</v>
      </c>
      <c r="AD15" s="211"/>
      <c r="AE15" s="210"/>
      <c r="AF15" s="211">
        <v>1</v>
      </c>
      <c r="AG15" s="210">
        <v>15</v>
      </c>
      <c r="AH15" s="211"/>
      <c r="AI15" s="210"/>
      <c r="AJ15" s="211"/>
      <c r="AK15" s="210"/>
      <c r="AL15" s="78"/>
      <c r="AM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</row>
    <row r="16" spans="1:71" s="244" customFormat="1" ht="13.5" customHeight="1" thickBot="1">
      <c r="A16" s="266" t="s">
        <v>121</v>
      </c>
      <c r="B16" s="206">
        <f t="shared" si="0"/>
        <v>4</v>
      </c>
      <c r="C16" s="206">
        <f t="shared" si="0"/>
        <v>75</v>
      </c>
      <c r="D16" s="267">
        <f t="shared" si="1"/>
        <v>3</v>
      </c>
      <c r="E16" s="207">
        <f t="shared" si="1"/>
        <v>60</v>
      </c>
      <c r="F16" s="267"/>
      <c r="G16" s="267"/>
      <c r="H16" s="268">
        <f t="shared" si="2"/>
        <v>1</v>
      </c>
      <c r="I16" s="269">
        <f t="shared" si="2"/>
        <v>15</v>
      </c>
      <c r="J16" s="267">
        <v>3</v>
      </c>
      <c r="K16" s="266">
        <v>60</v>
      </c>
      <c r="L16" s="242"/>
      <c r="M16" s="242"/>
      <c r="N16" s="241"/>
      <c r="O16" s="240"/>
      <c r="P16" s="241"/>
      <c r="Q16" s="240"/>
      <c r="R16" s="241"/>
      <c r="S16" s="240"/>
      <c r="T16" s="242"/>
      <c r="U16" s="242"/>
      <c r="V16" s="241"/>
      <c r="W16" s="240"/>
      <c r="X16" s="241"/>
      <c r="Y16" s="240"/>
      <c r="Z16" s="241"/>
      <c r="AA16" s="240"/>
      <c r="AB16" s="267">
        <v>1</v>
      </c>
      <c r="AC16" s="266">
        <v>15</v>
      </c>
      <c r="AD16" s="241"/>
      <c r="AE16" s="240"/>
      <c r="AF16" s="241"/>
      <c r="AG16" s="240"/>
      <c r="AH16" s="241"/>
      <c r="AI16" s="240"/>
      <c r="AJ16" s="241"/>
      <c r="AK16" s="240"/>
      <c r="AL16" s="243"/>
      <c r="AM16" s="243"/>
      <c r="AN16" s="265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</row>
    <row r="17" spans="1:71" ht="13.5" customHeight="1" thickBot="1">
      <c r="A17" s="210" t="s">
        <v>122</v>
      </c>
      <c r="B17" s="206">
        <f t="shared" si="0"/>
        <v>3</v>
      </c>
      <c r="C17" s="206">
        <f t="shared" si="0"/>
        <v>55</v>
      </c>
      <c r="D17" s="211">
        <f t="shared" si="1"/>
        <v>2</v>
      </c>
      <c r="E17" s="207">
        <f t="shared" si="1"/>
        <v>40</v>
      </c>
      <c r="F17" s="211"/>
      <c r="G17" s="211"/>
      <c r="H17" s="206">
        <f t="shared" si="2"/>
        <v>1</v>
      </c>
      <c r="I17" s="77">
        <f t="shared" si="2"/>
        <v>15</v>
      </c>
      <c r="J17" s="211">
        <v>2</v>
      </c>
      <c r="K17" s="210">
        <v>40</v>
      </c>
      <c r="L17" s="212"/>
      <c r="M17" s="212"/>
      <c r="N17" s="211"/>
      <c r="O17" s="210"/>
      <c r="P17" s="211"/>
      <c r="Q17" s="210"/>
      <c r="R17" s="211"/>
      <c r="S17" s="210"/>
      <c r="T17" s="212"/>
      <c r="U17" s="212"/>
      <c r="V17" s="211"/>
      <c r="W17" s="210"/>
      <c r="X17" s="211"/>
      <c r="Y17" s="210"/>
      <c r="Z17" s="211"/>
      <c r="AA17" s="210"/>
      <c r="AB17" s="211">
        <v>1</v>
      </c>
      <c r="AC17" s="210">
        <v>15</v>
      </c>
      <c r="AD17" s="211"/>
      <c r="AE17" s="210"/>
      <c r="AF17" s="211"/>
      <c r="AG17" s="210"/>
      <c r="AH17" s="211"/>
      <c r="AI17" s="210"/>
      <c r="AJ17" s="211"/>
      <c r="AK17" s="210"/>
      <c r="AL17" s="78"/>
      <c r="AM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</row>
    <row r="18" spans="1:71" ht="13.5" customHeight="1" thickBot="1">
      <c r="A18" s="266" t="s">
        <v>123</v>
      </c>
      <c r="B18" s="206">
        <f t="shared" si="0"/>
        <v>10</v>
      </c>
      <c r="C18" s="206">
        <f t="shared" si="0"/>
        <v>185</v>
      </c>
      <c r="D18" s="267">
        <f t="shared" si="1"/>
        <v>7</v>
      </c>
      <c r="E18" s="207">
        <f t="shared" si="1"/>
        <v>140</v>
      </c>
      <c r="F18" s="267"/>
      <c r="G18" s="267"/>
      <c r="H18" s="268">
        <v>3</v>
      </c>
      <c r="I18" s="269">
        <v>45</v>
      </c>
      <c r="J18" s="267">
        <f>4+2+1-1</f>
        <v>6</v>
      </c>
      <c r="K18" s="266">
        <f>136-36+20</f>
        <v>120</v>
      </c>
      <c r="L18" s="212"/>
      <c r="M18" s="212"/>
      <c r="N18" s="211"/>
      <c r="O18" s="210"/>
      <c r="P18" s="211"/>
      <c r="Q18" s="210"/>
      <c r="R18" s="211">
        <f>3-2</f>
        <v>1</v>
      </c>
      <c r="S18" s="210">
        <f>60-40</f>
        <v>20</v>
      </c>
      <c r="T18" s="212"/>
      <c r="U18" s="212"/>
      <c r="V18" s="211"/>
      <c r="W18" s="210"/>
      <c r="X18" s="211"/>
      <c r="Y18" s="210"/>
      <c r="Z18" s="211"/>
      <c r="AA18" s="210"/>
      <c r="AB18" s="211">
        <v>2</v>
      </c>
      <c r="AC18" s="210">
        <v>30</v>
      </c>
      <c r="AD18" s="211"/>
      <c r="AE18" s="210"/>
      <c r="AF18" s="211">
        <v>1</v>
      </c>
      <c r="AG18" s="210">
        <v>15</v>
      </c>
      <c r="AH18" s="211"/>
      <c r="AI18" s="210"/>
      <c r="AJ18" s="211"/>
      <c r="AK18" s="210"/>
      <c r="AL18" s="78"/>
      <c r="AM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</row>
    <row r="19" spans="1:71" s="244" customFormat="1" ht="13.5" customHeight="1" thickBot="1">
      <c r="A19" s="210" t="s">
        <v>124</v>
      </c>
      <c r="B19" s="206">
        <f t="shared" si="0"/>
        <v>9</v>
      </c>
      <c r="C19" s="206">
        <f t="shared" si="0"/>
        <v>154</v>
      </c>
      <c r="D19" s="211">
        <v>7</v>
      </c>
      <c r="E19" s="207">
        <f t="shared" si="1"/>
        <v>124</v>
      </c>
      <c r="F19" s="211"/>
      <c r="G19" s="211"/>
      <c r="H19" s="206">
        <v>2</v>
      </c>
      <c r="I19" s="77">
        <v>30</v>
      </c>
      <c r="J19" s="211">
        <v>4</v>
      </c>
      <c r="K19" s="210">
        <v>80</v>
      </c>
      <c r="L19" s="242"/>
      <c r="M19" s="242"/>
      <c r="N19" s="267">
        <v>2</v>
      </c>
      <c r="O19" s="266">
        <v>24</v>
      </c>
      <c r="P19" s="267"/>
      <c r="Q19" s="266"/>
      <c r="R19" s="267">
        <v>1</v>
      </c>
      <c r="S19" s="266">
        <v>20</v>
      </c>
      <c r="T19" s="242"/>
      <c r="U19" s="242"/>
      <c r="V19" s="241"/>
      <c r="W19" s="240"/>
      <c r="X19" s="241"/>
      <c r="Y19" s="240"/>
      <c r="Z19" s="241"/>
      <c r="AA19" s="240"/>
      <c r="AB19" s="267">
        <v>2</v>
      </c>
      <c r="AC19" s="266">
        <v>30</v>
      </c>
      <c r="AD19" s="275"/>
      <c r="AE19" s="276"/>
      <c r="AF19" s="273"/>
      <c r="AG19" s="274"/>
      <c r="AH19" s="241"/>
      <c r="AI19" s="240"/>
      <c r="AJ19" s="241"/>
      <c r="AK19" s="240"/>
      <c r="AL19" s="243"/>
      <c r="AM19" s="243"/>
      <c r="AN19" s="265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</row>
    <row r="20" spans="1:71" ht="13.5" customHeight="1" thickBot="1">
      <c r="A20" s="210" t="s">
        <v>125</v>
      </c>
      <c r="B20" s="206">
        <f t="shared" si="0"/>
        <v>8</v>
      </c>
      <c r="C20" s="206">
        <f t="shared" si="0"/>
        <v>134</v>
      </c>
      <c r="D20" s="211">
        <f t="shared" si="1"/>
        <v>6</v>
      </c>
      <c r="E20" s="207">
        <f t="shared" si="1"/>
        <v>104</v>
      </c>
      <c r="F20" s="211"/>
      <c r="G20" s="211"/>
      <c r="H20" s="206">
        <f t="shared" si="2"/>
        <v>2</v>
      </c>
      <c r="I20" s="77">
        <f t="shared" si="2"/>
        <v>30</v>
      </c>
      <c r="J20" s="211">
        <f>6-3</f>
        <v>3</v>
      </c>
      <c r="K20" s="210">
        <f>124-64</f>
        <v>60</v>
      </c>
      <c r="L20" s="212"/>
      <c r="M20" s="212"/>
      <c r="N20" s="211">
        <v>2</v>
      </c>
      <c r="O20" s="66">
        <v>24</v>
      </c>
      <c r="P20" s="211"/>
      <c r="Q20" s="210"/>
      <c r="R20" s="211">
        <v>1</v>
      </c>
      <c r="S20" s="210">
        <v>20</v>
      </c>
      <c r="T20" s="212"/>
      <c r="U20" s="212"/>
      <c r="V20" s="211"/>
      <c r="W20" s="210"/>
      <c r="X20" s="211"/>
      <c r="Y20" s="210"/>
      <c r="Z20" s="211"/>
      <c r="AA20" s="210"/>
      <c r="AB20" s="211">
        <v>1</v>
      </c>
      <c r="AC20" s="210">
        <v>15</v>
      </c>
      <c r="AD20" s="211"/>
      <c r="AE20" s="210"/>
      <c r="AF20" s="211">
        <v>1</v>
      </c>
      <c r="AG20" s="210">
        <v>15</v>
      </c>
      <c r="AH20" s="211"/>
      <c r="AI20" s="210"/>
      <c r="AJ20" s="211"/>
      <c r="AK20" s="210"/>
      <c r="AL20" s="78"/>
      <c r="AM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</row>
    <row r="21" spans="1:71" ht="13.5" customHeight="1" hidden="1">
      <c r="A21" s="210"/>
      <c r="B21" s="206">
        <f t="shared" si="0"/>
        <v>0</v>
      </c>
      <c r="C21" s="206">
        <f t="shared" si="0"/>
        <v>0</v>
      </c>
      <c r="D21" s="211">
        <f t="shared" si="1"/>
        <v>0</v>
      </c>
      <c r="E21" s="207">
        <f t="shared" si="1"/>
        <v>0</v>
      </c>
      <c r="F21" s="211"/>
      <c r="G21" s="211"/>
      <c r="H21" s="206">
        <f t="shared" si="2"/>
        <v>0</v>
      </c>
      <c r="I21" s="77">
        <f t="shared" si="2"/>
        <v>0</v>
      </c>
      <c r="J21" s="211"/>
      <c r="K21" s="210"/>
      <c r="L21" s="212"/>
      <c r="M21" s="212"/>
      <c r="N21" s="211"/>
      <c r="O21" s="66"/>
      <c r="P21" s="211"/>
      <c r="Q21" s="210"/>
      <c r="R21" s="211"/>
      <c r="S21" s="210"/>
      <c r="T21" s="212"/>
      <c r="U21" s="212"/>
      <c r="V21" s="211"/>
      <c r="W21" s="210"/>
      <c r="X21" s="211"/>
      <c r="Y21" s="210"/>
      <c r="Z21" s="211"/>
      <c r="AA21" s="210"/>
      <c r="AB21" s="211"/>
      <c r="AC21" s="210"/>
      <c r="AD21" s="211"/>
      <c r="AE21" s="210"/>
      <c r="AF21" s="211"/>
      <c r="AG21" s="210"/>
      <c r="AH21" s="211"/>
      <c r="AI21" s="210"/>
      <c r="AJ21" s="211"/>
      <c r="AK21" s="210"/>
      <c r="AL21" s="78"/>
      <c r="AM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</row>
    <row r="22" spans="1:71" ht="13.5" customHeight="1" hidden="1">
      <c r="A22" s="210"/>
      <c r="B22" s="206">
        <f t="shared" si="0"/>
        <v>0</v>
      </c>
      <c r="C22" s="206">
        <f t="shared" si="0"/>
        <v>0</v>
      </c>
      <c r="D22" s="211">
        <f t="shared" si="1"/>
        <v>0</v>
      </c>
      <c r="E22" s="207">
        <f t="shared" si="1"/>
        <v>0</v>
      </c>
      <c r="F22" s="211"/>
      <c r="G22" s="211"/>
      <c r="H22" s="206">
        <f t="shared" si="2"/>
        <v>0</v>
      </c>
      <c r="I22" s="77">
        <f t="shared" si="2"/>
        <v>0</v>
      </c>
      <c r="J22" s="211"/>
      <c r="K22" s="210"/>
      <c r="L22" s="212"/>
      <c r="M22" s="212"/>
      <c r="N22" s="211"/>
      <c r="O22" s="66"/>
      <c r="P22" s="211"/>
      <c r="Q22" s="210"/>
      <c r="R22" s="211"/>
      <c r="S22" s="210"/>
      <c r="T22" s="212"/>
      <c r="U22" s="212"/>
      <c r="V22" s="211"/>
      <c r="W22" s="210"/>
      <c r="X22" s="211"/>
      <c r="Y22" s="210"/>
      <c r="Z22" s="211"/>
      <c r="AA22" s="210"/>
      <c r="AB22" s="211"/>
      <c r="AC22" s="210"/>
      <c r="AD22" s="211"/>
      <c r="AE22" s="210"/>
      <c r="AF22" s="211"/>
      <c r="AG22" s="210"/>
      <c r="AH22" s="211"/>
      <c r="AI22" s="210"/>
      <c r="AJ22" s="211"/>
      <c r="AK22" s="210"/>
      <c r="AL22" s="78"/>
      <c r="AM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</row>
    <row r="23" spans="1:71" ht="12.75" customHeight="1" thickBot="1">
      <c r="A23" s="210" t="s">
        <v>126</v>
      </c>
      <c r="B23" s="206">
        <f t="shared" si="0"/>
        <v>8</v>
      </c>
      <c r="C23" s="206">
        <f t="shared" si="0"/>
        <v>129</v>
      </c>
      <c r="D23" s="211">
        <f t="shared" si="1"/>
        <v>5</v>
      </c>
      <c r="E23" s="207">
        <f t="shared" si="1"/>
        <v>84</v>
      </c>
      <c r="F23" s="211"/>
      <c r="G23" s="211"/>
      <c r="H23" s="206">
        <f t="shared" si="2"/>
        <v>3</v>
      </c>
      <c r="I23" s="77">
        <f t="shared" si="2"/>
        <v>45</v>
      </c>
      <c r="J23" s="211">
        <f>3-1</f>
        <v>2</v>
      </c>
      <c r="K23" s="210">
        <f>57-17</f>
        <v>40</v>
      </c>
      <c r="L23" s="212"/>
      <c r="M23" s="212"/>
      <c r="N23" s="211">
        <v>2</v>
      </c>
      <c r="O23" s="66">
        <v>24</v>
      </c>
      <c r="P23" s="211"/>
      <c r="Q23" s="210"/>
      <c r="R23" s="211">
        <v>1</v>
      </c>
      <c r="S23" s="210">
        <v>20</v>
      </c>
      <c r="T23" s="212"/>
      <c r="U23" s="212"/>
      <c r="V23" s="211"/>
      <c r="W23" s="210"/>
      <c r="X23" s="211"/>
      <c r="Y23" s="210"/>
      <c r="Z23" s="211"/>
      <c r="AA23" s="210"/>
      <c r="AB23" s="211">
        <v>2</v>
      </c>
      <c r="AC23" s="210">
        <v>30</v>
      </c>
      <c r="AD23" s="211"/>
      <c r="AE23" s="210"/>
      <c r="AF23" s="211">
        <v>1</v>
      </c>
      <c r="AG23" s="210">
        <v>15</v>
      </c>
      <c r="AH23" s="211"/>
      <c r="AI23" s="210"/>
      <c r="AJ23" s="211"/>
      <c r="AK23" s="210"/>
      <c r="AL23" s="78"/>
      <c r="AM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</row>
    <row r="24" spans="1:71" ht="0.75" customHeight="1" hidden="1">
      <c r="A24" s="210" t="s">
        <v>127</v>
      </c>
      <c r="B24" s="206">
        <f t="shared" si="0"/>
        <v>0</v>
      </c>
      <c r="C24" s="206">
        <f t="shared" si="0"/>
        <v>0</v>
      </c>
      <c r="D24" s="211">
        <f t="shared" si="1"/>
        <v>0</v>
      </c>
      <c r="E24" s="207">
        <f t="shared" si="1"/>
        <v>0</v>
      </c>
      <c r="F24" s="211"/>
      <c r="G24" s="211"/>
      <c r="H24" s="206">
        <f t="shared" si="2"/>
        <v>0</v>
      </c>
      <c r="I24" s="77">
        <f t="shared" si="2"/>
        <v>0</v>
      </c>
      <c r="J24" s="211"/>
      <c r="K24" s="210"/>
      <c r="L24" s="212"/>
      <c r="M24" s="212"/>
      <c r="N24" s="211"/>
      <c r="O24" s="66"/>
      <c r="P24" s="211"/>
      <c r="Q24" s="210"/>
      <c r="R24" s="211"/>
      <c r="S24" s="210"/>
      <c r="T24" s="212"/>
      <c r="U24" s="212"/>
      <c r="V24" s="211"/>
      <c r="W24" s="210"/>
      <c r="X24" s="211"/>
      <c r="Y24" s="210"/>
      <c r="Z24" s="211"/>
      <c r="AA24" s="210"/>
      <c r="AB24" s="211"/>
      <c r="AC24" s="210"/>
      <c r="AD24" s="211"/>
      <c r="AE24" s="210"/>
      <c r="AF24" s="211"/>
      <c r="AG24" s="210"/>
      <c r="AH24" s="211"/>
      <c r="AI24" s="210"/>
      <c r="AJ24" s="211"/>
      <c r="AK24" s="210"/>
      <c r="AL24" s="78"/>
      <c r="AM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</row>
    <row r="25" spans="1:71" ht="13.5" customHeight="1" thickBot="1">
      <c r="A25" s="210" t="s">
        <v>128</v>
      </c>
      <c r="B25" s="206">
        <f t="shared" si="0"/>
        <v>7</v>
      </c>
      <c r="C25" s="206">
        <f t="shared" si="0"/>
        <v>122</v>
      </c>
      <c r="D25" s="211">
        <v>5</v>
      </c>
      <c r="E25" s="207">
        <f t="shared" si="1"/>
        <v>92</v>
      </c>
      <c r="F25" s="211"/>
      <c r="G25" s="211"/>
      <c r="H25" s="206">
        <f t="shared" si="2"/>
        <v>2</v>
      </c>
      <c r="I25" s="77">
        <f t="shared" si="2"/>
        <v>30</v>
      </c>
      <c r="J25" s="211">
        <f>5-2</f>
        <v>3</v>
      </c>
      <c r="K25" s="210">
        <f>104-44</f>
        <v>60</v>
      </c>
      <c r="L25" s="212"/>
      <c r="M25" s="212"/>
      <c r="N25" s="211">
        <v>1</v>
      </c>
      <c r="O25" s="66">
        <v>12</v>
      </c>
      <c r="P25" s="211"/>
      <c r="Q25" s="210"/>
      <c r="R25" s="211">
        <v>1</v>
      </c>
      <c r="S25" s="210">
        <v>20</v>
      </c>
      <c r="T25" s="212"/>
      <c r="U25" s="212"/>
      <c r="V25" s="211"/>
      <c r="W25" s="210"/>
      <c r="X25" s="211"/>
      <c r="Y25" s="210"/>
      <c r="Z25" s="211"/>
      <c r="AA25" s="210"/>
      <c r="AB25" s="211">
        <v>1</v>
      </c>
      <c r="AC25" s="210">
        <v>15</v>
      </c>
      <c r="AD25" s="211"/>
      <c r="AE25" s="210"/>
      <c r="AF25" s="211">
        <v>1</v>
      </c>
      <c r="AG25" s="210">
        <v>15</v>
      </c>
      <c r="AH25" s="211"/>
      <c r="AI25" s="210"/>
      <c r="AJ25" s="211"/>
      <c r="AK25" s="210"/>
      <c r="AL25" s="78"/>
      <c r="AM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</row>
    <row r="26" spans="1:71" ht="12" customHeight="1" hidden="1">
      <c r="A26" s="210"/>
      <c r="B26" s="206">
        <f t="shared" si="0"/>
        <v>0</v>
      </c>
      <c r="C26" s="206">
        <f t="shared" si="0"/>
        <v>0</v>
      </c>
      <c r="D26" s="213">
        <f>J26+N26+P26+R26+V26+X26+Z26</f>
        <v>0</v>
      </c>
      <c r="E26" s="207">
        <f>K26+O26+Q26+S26+W26+Y26+AA26+M26+U26-G26</f>
        <v>0</v>
      </c>
      <c r="F26" s="211"/>
      <c r="G26" s="211"/>
      <c r="H26" s="209">
        <f>AB26+AD26+AF26+AH26+AJ26</f>
        <v>0</v>
      </c>
      <c r="I26" s="210">
        <f>AC26+AE26+AG26+AI26+AK26</f>
        <v>0</v>
      </c>
      <c r="J26" s="211"/>
      <c r="K26" s="210"/>
      <c r="L26" s="212"/>
      <c r="M26" s="212"/>
      <c r="N26" s="211"/>
      <c r="O26" s="210"/>
      <c r="P26" s="211"/>
      <c r="Q26" s="210"/>
      <c r="R26" s="211"/>
      <c r="S26" s="210"/>
      <c r="T26" s="212"/>
      <c r="U26" s="212"/>
      <c r="V26" s="211"/>
      <c r="W26" s="210"/>
      <c r="X26" s="211"/>
      <c r="Y26" s="210"/>
      <c r="Z26" s="211"/>
      <c r="AA26" s="210"/>
      <c r="AB26" s="211"/>
      <c r="AC26" s="210"/>
      <c r="AD26" s="211"/>
      <c r="AE26" s="210"/>
      <c r="AF26" s="211"/>
      <c r="AG26" s="210"/>
      <c r="AH26" s="211"/>
      <c r="AI26" s="210"/>
      <c r="AJ26" s="211"/>
      <c r="AK26" s="210"/>
      <c r="AL26" s="78"/>
      <c r="AM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</row>
    <row r="27" spans="1:71" ht="8.25" customHeight="1" hidden="1">
      <c r="A27" s="210"/>
      <c r="B27" s="206">
        <f t="shared" si="0"/>
        <v>0</v>
      </c>
      <c r="C27" s="206">
        <f t="shared" si="0"/>
        <v>0</v>
      </c>
      <c r="D27" s="213">
        <f>J27+N27+P27+R27+V27+X27+Z27</f>
        <v>0</v>
      </c>
      <c r="E27" s="207">
        <f>K27+O27+Q27+S27+W27+Y27+AA27+M27+U27-G27</f>
        <v>0</v>
      </c>
      <c r="F27" s="211"/>
      <c r="G27" s="211"/>
      <c r="H27" s="209">
        <f>AB27+AD27+AF27+AH27+AJ27</f>
        <v>0</v>
      </c>
      <c r="I27" s="210">
        <f>AC27+AE27+AG27+AI27+AK27</f>
        <v>0</v>
      </c>
      <c r="J27" s="211"/>
      <c r="K27" s="210"/>
      <c r="L27" s="212"/>
      <c r="M27" s="212"/>
      <c r="N27" s="211"/>
      <c r="O27" s="210"/>
      <c r="P27" s="211"/>
      <c r="Q27" s="210"/>
      <c r="R27" s="211"/>
      <c r="S27" s="210"/>
      <c r="T27" s="212"/>
      <c r="U27" s="212"/>
      <c r="V27" s="211"/>
      <c r="W27" s="210"/>
      <c r="X27" s="211"/>
      <c r="Y27" s="210"/>
      <c r="Z27" s="211"/>
      <c r="AA27" s="210"/>
      <c r="AB27" s="211"/>
      <c r="AC27" s="210"/>
      <c r="AD27" s="211"/>
      <c r="AE27" s="210"/>
      <c r="AF27" s="211"/>
      <c r="AG27" s="210"/>
      <c r="AH27" s="211"/>
      <c r="AI27" s="210"/>
      <c r="AJ27" s="211"/>
      <c r="AK27" s="210"/>
      <c r="AL27" s="78"/>
      <c r="AM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</row>
    <row r="28" spans="1:71" ht="16.5" customHeight="1" thickBot="1">
      <c r="A28" s="215" t="s">
        <v>86</v>
      </c>
      <c r="B28" s="214">
        <f>SUM(B10:B27)</f>
        <v>93</v>
      </c>
      <c r="C28" s="215">
        <f aca="true" t="shared" si="3" ref="C28:AJ28">SUM(C10:C27)</f>
        <v>1585</v>
      </c>
      <c r="D28" s="214">
        <f t="shared" si="3"/>
        <v>64</v>
      </c>
      <c r="E28" s="195">
        <f t="shared" si="3"/>
        <v>1139</v>
      </c>
      <c r="F28" s="195">
        <f>SUM(F10:F27)</f>
        <v>1</v>
      </c>
      <c r="G28" s="195">
        <f>SUM(G10:G27)</f>
        <v>26</v>
      </c>
      <c r="H28" s="214">
        <f t="shared" si="3"/>
        <v>28</v>
      </c>
      <c r="I28" s="215">
        <f t="shared" si="3"/>
        <v>420</v>
      </c>
      <c r="J28" s="214">
        <f t="shared" si="3"/>
        <v>38</v>
      </c>
      <c r="K28" s="215">
        <f t="shared" si="3"/>
        <v>766</v>
      </c>
      <c r="L28" s="215">
        <f t="shared" si="3"/>
        <v>0</v>
      </c>
      <c r="M28" s="215">
        <f t="shared" si="3"/>
        <v>0</v>
      </c>
      <c r="N28" s="214">
        <f t="shared" si="3"/>
        <v>16</v>
      </c>
      <c r="O28" s="215">
        <f t="shared" si="3"/>
        <v>189</v>
      </c>
      <c r="P28" s="214">
        <f t="shared" si="3"/>
        <v>0</v>
      </c>
      <c r="Q28" s="215">
        <f t="shared" si="3"/>
        <v>0</v>
      </c>
      <c r="R28" s="214">
        <f t="shared" si="3"/>
        <v>8</v>
      </c>
      <c r="S28" s="215">
        <f t="shared" si="3"/>
        <v>160</v>
      </c>
      <c r="T28" s="215">
        <f t="shared" si="3"/>
        <v>1</v>
      </c>
      <c r="U28" s="215">
        <f t="shared" si="3"/>
        <v>15</v>
      </c>
      <c r="V28" s="214">
        <f t="shared" si="3"/>
        <v>0</v>
      </c>
      <c r="W28" s="215">
        <f t="shared" si="3"/>
        <v>0</v>
      </c>
      <c r="X28" s="214">
        <f t="shared" si="3"/>
        <v>1</v>
      </c>
      <c r="Y28" s="215">
        <f t="shared" si="3"/>
        <v>15</v>
      </c>
      <c r="Z28" s="214">
        <f t="shared" si="3"/>
        <v>1</v>
      </c>
      <c r="AA28" s="215">
        <f t="shared" si="3"/>
        <v>20</v>
      </c>
      <c r="AB28" s="214">
        <f t="shared" si="3"/>
        <v>18</v>
      </c>
      <c r="AC28" s="215">
        <f t="shared" si="3"/>
        <v>270</v>
      </c>
      <c r="AD28" s="214">
        <f t="shared" si="3"/>
        <v>0</v>
      </c>
      <c r="AE28" s="215">
        <f t="shared" si="3"/>
        <v>0</v>
      </c>
      <c r="AF28" s="214">
        <f t="shared" si="3"/>
        <v>9</v>
      </c>
      <c r="AG28" s="215">
        <f t="shared" si="3"/>
        <v>135</v>
      </c>
      <c r="AH28" s="214">
        <f t="shared" si="3"/>
        <v>0</v>
      </c>
      <c r="AI28" s="215">
        <f t="shared" si="3"/>
        <v>0</v>
      </c>
      <c r="AJ28" s="214">
        <f t="shared" si="3"/>
        <v>1</v>
      </c>
      <c r="AK28" s="215">
        <f>SUM(AK10:AK27)</f>
        <v>15</v>
      </c>
      <c r="AL28" s="78"/>
      <c r="AM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</row>
    <row r="29" spans="1:71" ht="6.75" customHeight="1" hidden="1" thickBot="1">
      <c r="A29" s="234">
        <v>0</v>
      </c>
      <c r="B29" s="209"/>
      <c r="C29" s="212"/>
      <c r="D29" s="213"/>
      <c r="E29" s="213"/>
      <c r="F29" s="56"/>
      <c r="G29" s="56"/>
      <c r="H29" s="209"/>
      <c r="I29" s="212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6"/>
      <c r="AL29" s="78"/>
      <c r="AM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</row>
    <row r="30" spans="1:71" ht="11.25" customHeight="1">
      <c r="A30" s="235" t="s">
        <v>129</v>
      </c>
      <c r="B30" s="206">
        <f>D30+H30+F30</f>
        <v>6</v>
      </c>
      <c r="C30" s="206">
        <f>E30+I30+G30</f>
        <v>134</v>
      </c>
      <c r="D30" s="207">
        <f>J30+N30+P30+R30+V30+X30+Z30+L30+T30-F30</f>
        <v>2</v>
      </c>
      <c r="E30" s="207">
        <f>K30+O30+Q30+S30+W30+Y30+AA30+M30+U30-G30</f>
        <v>35</v>
      </c>
      <c r="F30" s="211">
        <v>3</v>
      </c>
      <c r="G30" s="211">
        <f>85-1</f>
        <v>84</v>
      </c>
      <c r="H30" s="229">
        <f>AB30+AD30+AF30+AH30+AJ30</f>
        <v>1</v>
      </c>
      <c r="I30" s="207">
        <f>AC30+AE30+AG30+AI30+AK30</f>
        <v>15</v>
      </c>
      <c r="J30" s="77">
        <v>4</v>
      </c>
      <c r="K30" s="208">
        <f>105-1</f>
        <v>104</v>
      </c>
      <c r="L30" s="207">
        <v>1</v>
      </c>
      <c r="M30" s="207">
        <v>15</v>
      </c>
      <c r="N30" s="77"/>
      <c r="O30" s="208"/>
      <c r="P30" s="77"/>
      <c r="Q30" s="208"/>
      <c r="R30" s="77"/>
      <c r="S30" s="208"/>
      <c r="T30" s="207"/>
      <c r="U30" s="207"/>
      <c r="V30" s="77"/>
      <c r="W30" s="208"/>
      <c r="X30" s="77"/>
      <c r="Y30" s="208"/>
      <c r="Z30" s="77"/>
      <c r="AA30" s="208"/>
      <c r="AB30" s="77"/>
      <c r="AC30" s="208"/>
      <c r="AD30" s="77"/>
      <c r="AE30" s="208"/>
      <c r="AF30" s="77">
        <v>1</v>
      </c>
      <c r="AG30" s="208">
        <v>15</v>
      </c>
      <c r="AH30" s="77"/>
      <c r="AI30" s="208"/>
      <c r="AJ30" s="77"/>
      <c r="AK30" s="77"/>
      <c r="AL30" s="78"/>
      <c r="AM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</row>
    <row r="31" spans="1:71" ht="12" customHeight="1" thickBot="1">
      <c r="A31" s="234" t="s">
        <v>26</v>
      </c>
      <c r="B31" s="210"/>
      <c r="C31" s="212"/>
      <c r="D31" s="210"/>
      <c r="E31" s="213"/>
      <c r="F31" s="213"/>
      <c r="G31" s="213"/>
      <c r="H31" s="210"/>
      <c r="I31" s="212"/>
      <c r="J31" s="210"/>
      <c r="K31" s="211"/>
      <c r="L31" s="212"/>
      <c r="M31" s="212"/>
      <c r="N31" s="210"/>
      <c r="O31" s="211"/>
      <c r="P31" s="210"/>
      <c r="Q31" s="211"/>
      <c r="R31" s="210"/>
      <c r="S31" s="211"/>
      <c r="T31" s="212"/>
      <c r="U31" s="212"/>
      <c r="V31" s="210"/>
      <c r="W31" s="211"/>
      <c r="X31" s="210"/>
      <c r="Y31" s="211"/>
      <c r="Z31" s="210"/>
      <c r="AA31" s="211"/>
      <c r="AB31" s="210"/>
      <c r="AC31" s="211"/>
      <c r="AD31" s="210"/>
      <c r="AE31" s="211"/>
      <c r="AF31" s="210"/>
      <c r="AG31" s="211"/>
      <c r="AH31" s="210"/>
      <c r="AI31" s="211"/>
      <c r="AJ31" s="210"/>
      <c r="AK31" s="210"/>
      <c r="AL31" s="78"/>
      <c r="AM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</row>
    <row r="32" spans="1:40" ht="6" customHeight="1" hidden="1">
      <c r="A32" s="12"/>
      <c r="AN32" s="265"/>
    </row>
    <row r="33" spans="1:40" ht="6" customHeight="1" hidden="1" thickBot="1">
      <c r="A33" s="12"/>
      <c r="AN33" s="265"/>
    </row>
    <row r="34" spans="1:71" ht="18" customHeight="1" thickBot="1">
      <c r="A34" s="195" t="s">
        <v>41</v>
      </c>
      <c r="B34" s="215">
        <f>B30+B28+B32</f>
        <v>99</v>
      </c>
      <c r="C34" s="214">
        <f aca="true" t="shared" si="4" ref="C34:AJ34">C30+C28+C32</f>
        <v>1719</v>
      </c>
      <c r="D34" s="215">
        <f t="shared" si="4"/>
        <v>66</v>
      </c>
      <c r="E34" s="214">
        <f t="shared" si="4"/>
        <v>1174</v>
      </c>
      <c r="F34" s="214">
        <f t="shared" si="4"/>
        <v>4</v>
      </c>
      <c r="G34" s="272">
        <f t="shared" si="4"/>
        <v>110</v>
      </c>
      <c r="H34" s="230">
        <f t="shared" si="4"/>
        <v>29</v>
      </c>
      <c r="I34" s="214">
        <f t="shared" si="4"/>
        <v>435</v>
      </c>
      <c r="J34" s="215">
        <f t="shared" si="4"/>
        <v>42</v>
      </c>
      <c r="K34" s="214">
        <f t="shared" si="4"/>
        <v>870</v>
      </c>
      <c r="L34" s="214">
        <f t="shared" si="4"/>
        <v>1</v>
      </c>
      <c r="M34" s="214">
        <f t="shared" si="4"/>
        <v>15</v>
      </c>
      <c r="N34" s="215">
        <f t="shared" si="4"/>
        <v>16</v>
      </c>
      <c r="O34" s="214">
        <f t="shared" si="4"/>
        <v>189</v>
      </c>
      <c r="P34" s="215">
        <f t="shared" si="4"/>
        <v>0</v>
      </c>
      <c r="Q34" s="214">
        <f t="shared" si="4"/>
        <v>0</v>
      </c>
      <c r="R34" s="215">
        <f t="shared" si="4"/>
        <v>8</v>
      </c>
      <c r="S34" s="214">
        <f t="shared" si="4"/>
        <v>160</v>
      </c>
      <c r="T34" s="214">
        <f t="shared" si="4"/>
        <v>1</v>
      </c>
      <c r="U34" s="214">
        <f t="shared" si="4"/>
        <v>15</v>
      </c>
      <c r="V34" s="215">
        <f t="shared" si="4"/>
        <v>0</v>
      </c>
      <c r="W34" s="214">
        <f t="shared" si="4"/>
        <v>0</v>
      </c>
      <c r="X34" s="215">
        <f t="shared" si="4"/>
        <v>1</v>
      </c>
      <c r="Y34" s="214">
        <f t="shared" si="4"/>
        <v>15</v>
      </c>
      <c r="Z34" s="215">
        <f t="shared" si="4"/>
        <v>1</v>
      </c>
      <c r="AA34" s="214">
        <f t="shared" si="4"/>
        <v>20</v>
      </c>
      <c r="AB34" s="215">
        <f t="shared" si="4"/>
        <v>18</v>
      </c>
      <c r="AC34" s="214">
        <f t="shared" si="4"/>
        <v>270</v>
      </c>
      <c r="AD34" s="215">
        <f t="shared" si="4"/>
        <v>0</v>
      </c>
      <c r="AE34" s="214">
        <f t="shared" si="4"/>
        <v>0</v>
      </c>
      <c r="AF34" s="215">
        <f t="shared" si="4"/>
        <v>10</v>
      </c>
      <c r="AG34" s="214">
        <f t="shared" si="4"/>
        <v>150</v>
      </c>
      <c r="AH34" s="215">
        <f t="shared" si="4"/>
        <v>0</v>
      </c>
      <c r="AI34" s="214">
        <f t="shared" si="4"/>
        <v>0</v>
      </c>
      <c r="AJ34" s="215">
        <f t="shared" si="4"/>
        <v>1</v>
      </c>
      <c r="AK34" s="215">
        <f>AK30+AK28+AK32</f>
        <v>15</v>
      </c>
      <c r="AL34" s="78"/>
      <c r="AM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</row>
    <row r="35" spans="1:71" ht="14.25" customHeight="1" thickBot="1">
      <c r="A35" s="54" t="s">
        <v>130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217"/>
      <c r="M35" s="217"/>
      <c r="N35" s="56"/>
      <c r="O35" s="56"/>
      <c r="P35" s="56"/>
      <c r="Q35" s="56"/>
      <c r="R35" s="56"/>
      <c r="S35" s="56"/>
      <c r="T35" s="217"/>
      <c r="U35" s="217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218"/>
      <c r="AL35" s="78"/>
      <c r="AM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</row>
    <row r="36" spans="1:71" ht="13.5" customHeight="1" thickBot="1">
      <c r="A36" s="210" t="s">
        <v>131</v>
      </c>
      <c r="B36" s="206">
        <f>D36+H36+F36</f>
        <v>3</v>
      </c>
      <c r="C36" s="206">
        <f>E36+I36+G36</f>
        <v>55</v>
      </c>
      <c r="D36" s="208">
        <f>J36+N36+P36+R36+V36+X36+Z36+L36+T36-F36</f>
        <v>2</v>
      </c>
      <c r="E36" s="207">
        <f>K36+O36+Q36+S36+W36+Y36+AA36+M36+U36-G36</f>
        <v>40</v>
      </c>
      <c r="F36" s="211"/>
      <c r="G36" s="211"/>
      <c r="H36" s="213">
        <f>AB36+AD36+AF36+AH36+AJ36</f>
        <v>1</v>
      </c>
      <c r="I36" s="210">
        <f>AC36+AE36+AG36+AI36+AK36</f>
        <v>15</v>
      </c>
      <c r="J36" s="211">
        <v>2</v>
      </c>
      <c r="K36" s="210">
        <v>40</v>
      </c>
      <c r="L36" s="212"/>
      <c r="M36" s="212"/>
      <c r="N36" s="211"/>
      <c r="O36" s="210"/>
      <c r="P36" s="211"/>
      <c r="Q36" s="210"/>
      <c r="R36" s="211"/>
      <c r="S36" s="210"/>
      <c r="T36" s="212"/>
      <c r="U36" s="212"/>
      <c r="V36" s="211"/>
      <c r="W36" s="210"/>
      <c r="X36" s="211"/>
      <c r="Y36" s="210"/>
      <c r="Z36" s="211"/>
      <c r="AA36" s="210"/>
      <c r="AB36" s="211"/>
      <c r="AC36" s="210"/>
      <c r="AD36" s="211"/>
      <c r="AE36" s="210"/>
      <c r="AF36" s="211">
        <v>1</v>
      </c>
      <c r="AG36" s="210">
        <v>15</v>
      </c>
      <c r="AH36" s="211"/>
      <c r="AI36" s="210"/>
      <c r="AJ36" s="211"/>
      <c r="AK36" s="210"/>
      <c r="AL36" s="78"/>
      <c r="AM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</row>
    <row r="37" spans="1:71" ht="13.5" customHeight="1">
      <c r="A37" s="210" t="s">
        <v>132</v>
      </c>
      <c r="B37" s="206">
        <f>D37+H37+F37</f>
        <v>3</v>
      </c>
      <c r="C37" s="206">
        <f>E37+I37+G37</f>
        <v>55</v>
      </c>
      <c r="D37" s="208">
        <f>J37+N37+P37+R37+V37+X37+Z37+L37+T37-F37</f>
        <v>2</v>
      </c>
      <c r="E37" s="207">
        <f>K37+O37+Q37+S37+W37+Y37+AA37+M37+U37-G37</f>
        <v>40</v>
      </c>
      <c r="F37" s="211"/>
      <c r="G37" s="211"/>
      <c r="H37" s="213">
        <f>AB37+AD37+AF37+AH37+AJ37</f>
        <v>1</v>
      </c>
      <c r="I37" s="210">
        <f>AC37+AE37+AG37+AI37+AK37</f>
        <v>15</v>
      </c>
      <c r="J37" s="211">
        <v>2</v>
      </c>
      <c r="K37" s="210">
        <v>40</v>
      </c>
      <c r="L37" s="212"/>
      <c r="M37" s="212"/>
      <c r="N37" s="211"/>
      <c r="O37" s="210"/>
      <c r="P37" s="211"/>
      <c r="Q37" s="210"/>
      <c r="R37" s="211"/>
      <c r="S37" s="210"/>
      <c r="T37" s="212"/>
      <c r="U37" s="212"/>
      <c r="V37" s="211"/>
      <c r="W37" s="210"/>
      <c r="X37" s="211"/>
      <c r="Y37" s="210"/>
      <c r="Z37" s="211"/>
      <c r="AA37" s="210"/>
      <c r="AB37" s="211"/>
      <c r="AC37" s="210"/>
      <c r="AD37" s="211"/>
      <c r="AE37" s="210"/>
      <c r="AF37" s="211">
        <v>1</v>
      </c>
      <c r="AG37" s="210">
        <v>15</v>
      </c>
      <c r="AH37" s="211"/>
      <c r="AI37" s="210"/>
      <c r="AJ37" s="211"/>
      <c r="AK37" s="210"/>
      <c r="AL37" s="78"/>
      <c r="AM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</row>
    <row r="38" spans="1:71" ht="19.5" customHeight="1" thickBot="1">
      <c r="A38" s="54" t="s">
        <v>133</v>
      </c>
      <c r="B38" s="223">
        <f>SUM(B36:B37)</f>
        <v>6</v>
      </c>
      <c r="C38" s="223">
        <f aca="true" t="shared" si="5" ref="C38:AJ38">SUM(C36:C37)</f>
        <v>110</v>
      </c>
      <c r="D38" s="223">
        <f t="shared" si="5"/>
        <v>4</v>
      </c>
      <c r="E38" s="221">
        <f t="shared" si="5"/>
        <v>80</v>
      </c>
      <c r="F38" s="222">
        <f>SUM(F36:F37)</f>
        <v>0</v>
      </c>
      <c r="G38" s="222">
        <f>SUM(G36:G37)</f>
        <v>0</v>
      </c>
      <c r="H38" s="223">
        <f t="shared" si="5"/>
        <v>2</v>
      </c>
      <c r="I38" s="223">
        <f t="shared" si="5"/>
        <v>30</v>
      </c>
      <c r="J38" s="223">
        <f t="shared" si="5"/>
        <v>4</v>
      </c>
      <c r="K38" s="221">
        <f t="shared" si="5"/>
        <v>80</v>
      </c>
      <c r="L38" s="222">
        <f t="shared" si="5"/>
        <v>0</v>
      </c>
      <c r="M38" s="222">
        <f t="shared" si="5"/>
        <v>0</v>
      </c>
      <c r="N38" s="222">
        <f t="shared" si="5"/>
        <v>0</v>
      </c>
      <c r="O38" s="222">
        <f t="shared" si="5"/>
        <v>0</v>
      </c>
      <c r="P38" s="222">
        <f t="shared" si="5"/>
        <v>0</v>
      </c>
      <c r="Q38" s="222">
        <f t="shared" si="5"/>
        <v>0</v>
      </c>
      <c r="R38" s="222">
        <f t="shared" si="5"/>
        <v>0</v>
      </c>
      <c r="S38" s="222">
        <f t="shared" si="5"/>
        <v>0</v>
      </c>
      <c r="T38" s="222">
        <f t="shared" si="5"/>
        <v>0</v>
      </c>
      <c r="U38" s="222">
        <f t="shared" si="5"/>
        <v>0</v>
      </c>
      <c r="V38" s="222">
        <f t="shared" si="5"/>
        <v>0</v>
      </c>
      <c r="W38" s="222">
        <f t="shared" si="5"/>
        <v>0</v>
      </c>
      <c r="X38" s="222">
        <f t="shared" si="5"/>
        <v>0</v>
      </c>
      <c r="Y38" s="222">
        <f t="shared" si="5"/>
        <v>0</v>
      </c>
      <c r="Z38" s="222">
        <f t="shared" si="5"/>
        <v>0</v>
      </c>
      <c r="AA38" s="222">
        <f t="shared" si="5"/>
        <v>0</v>
      </c>
      <c r="AB38" s="222">
        <f t="shared" si="5"/>
        <v>0</v>
      </c>
      <c r="AC38" s="222">
        <f t="shared" si="5"/>
        <v>0</v>
      </c>
      <c r="AD38" s="222">
        <f t="shared" si="5"/>
        <v>0</v>
      </c>
      <c r="AE38" s="222">
        <f t="shared" si="5"/>
        <v>0</v>
      </c>
      <c r="AF38" s="223">
        <f t="shared" si="5"/>
        <v>2</v>
      </c>
      <c r="AG38" s="223">
        <f t="shared" si="5"/>
        <v>30</v>
      </c>
      <c r="AH38" s="222">
        <f t="shared" si="5"/>
        <v>0</v>
      </c>
      <c r="AI38" s="222">
        <f t="shared" si="5"/>
        <v>0</v>
      </c>
      <c r="AJ38" s="222">
        <f t="shared" si="5"/>
        <v>0</v>
      </c>
      <c r="AK38" s="221">
        <f>SUM(AK36:AK37)</f>
        <v>0</v>
      </c>
      <c r="AL38" s="56">
        <f>SUM(AL36:AL37)</f>
        <v>0</v>
      </c>
      <c r="AM38" s="56">
        <f>SUM(AM36:AM37)</f>
        <v>0</v>
      </c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</row>
    <row r="39" spans="1:71" ht="13.5" customHeight="1">
      <c r="A39" s="54" t="s">
        <v>311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217"/>
      <c r="M39" s="217"/>
      <c r="N39" s="56"/>
      <c r="O39" s="56"/>
      <c r="P39" s="56"/>
      <c r="Q39" s="56"/>
      <c r="R39" s="56"/>
      <c r="S39" s="56"/>
      <c r="T39" s="217"/>
      <c r="U39" s="217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218"/>
      <c r="AL39" s="78"/>
      <c r="AM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</row>
    <row r="40" spans="1:71" ht="5.25" customHeight="1" thickBot="1">
      <c r="A40" s="54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217"/>
      <c r="M40" s="217"/>
      <c r="N40" s="56"/>
      <c r="O40" s="56"/>
      <c r="P40" s="56"/>
      <c r="Q40" s="56"/>
      <c r="R40" s="56"/>
      <c r="S40" s="56"/>
      <c r="T40" s="217"/>
      <c r="U40" s="217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218"/>
      <c r="AL40" s="78"/>
      <c r="AM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</row>
    <row r="41" spans="1:71" s="71" customFormat="1" ht="13.5" customHeight="1" thickBot="1">
      <c r="A41" s="219" t="s">
        <v>333</v>
      </c>
      <c r="B41" s="206">
        <v>12</v>
      </c>
      <c r="C41" s="208">
        <f>E41+I41+G41</f>
        <v>235</v>
      </c>
      <c r="D41" s="207">
        <v>7</v>
      </c>
      <c r="E41" s="207">
        <v>140</v>
      </c>
      <c r="F41" s="69">
        <f>3-1</f>
        <v>2</v>
      </c>
      <c r="G41" s="69">
        <f>42+8</f>
        <v>50</v>
      </c>
      <c r="H41" s="231">
        <f>AB41+AD41+AF41+AH41+AJ41</f>
        <v>3</v>
      </c>
      <c r="I41" s="68">
        <f>AC41+AE41+AG41+AI41+AK41</f>
        <v>45</v>
      </c>
      <c r="J41" s="73">
        <v>7</v>
      </c>
      <c r="K41" s="74">
        <v>150</v>
      </c>
      <c r="L41" s="68"/>
      <c r="M41" s="68"/>
      <c r="N41" s="73"/>
      <c r="O41" s="74"/>
      <c r="P41" s="73"/>
      <c r="Q41" s="74"/>
      <c r="R41" s="73">
        <v>2</v>
      </c>
      <c r="S41" s="74">
        <v>40</v>
      </c>
      <c r="T41" s="68"/>
      <c r="U41" s="68"/>
      <c r="V41" s="73"/>
      <c r="W41" s="74"/>
      <c r="X41" s="73"/>
      <c r="Y41" s="74"/>
      <c r="Z41" s="73"/>
      <c r="AA41" s="74"/>
      <c r="AB41" s="73">
        <f>1+1</f>
        <v>2</v>
      </c>
      <c r="AC41" s="74">
        <v>30</v>
      </c>
      <c r="AD41" s="73"/>
      <c r="AE41" s="74"/>
      <c r="AF41" s="73">
        <v>1</v>
      </c>
      <c r="AG41" s="74">
        <v>15</v>
      </c>
      <c r="AH41" s="73"/>
      <c r="AI41" s="74"/>
      <c r="AJ41" s="73"/>
      <c r="AK41" s="75"/>
      <c r="AL41" s="70"/>
      <c r="AM41" s="70"/>
      <c r="AN41" s="265"/>
      <c r="AO41"/>
      <c r="AP41"/>
      <c r="AQ41"/>
      <c r="AR41"/>
      <c r="AS41"/>
      <c r="AT41"/>
      <c r="AU41"/>
      <c r="AV41"/>
      <c r="AW41"/>
      <c r="AX41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</row>
    <row r="42" spans="1:71" ht="13.5" customHeight="1">
      <c r="A42" s="219" t="s">
        <v>334</v>
      </c>
      <c r="B42" s="206">
        <v>6</v>
      </c>
      <c r="C42" s="208">
        <v>119</v>
      </c>
      <c r="D42" s="207">
        <v>4</v>
      </c>
      <c r="E42" s="207">
        <v>80</v>
      </c>
      <c r="F42" s="211">
        <f>2-1</f>
        <v>1</v>
      </c>
      <c r="G42" s="211">
        <f>45-20-1</f>
        <v>24</v>
      </c>
      <c r="H42" s="232">
        <f>AB42+AD42+AF42+AH42+AJ42</f>
        <v>1</v>
      </c>
      <c r="I42" s="212">
        <f>AC42+AE42+AG42+AI42+AK42</f>
        <v>15</v>
      </c>
      <c r="J42" s="210">
        <v>4</v>
      </c>
      <c r="K42" s="211">
        <v>84</v>
      </c>
      <c r="L42" s="212"/>
      <c r="M42" s="212"/>
      <c r="N42" s="210"/>
      <c r="O42" s="211"/>
      <c r="P42" s="210"/>
      <c r="Q42" s="211"/>
      <c r="R42" s="210">
        <v>1</v>
      </c>
      <c r="S42" s="211">
        <v>20</v>
      </c>
      <c r="T42" s="212"/>
      <c r="U42" s="212"/>
      <c r="V42" s="210"/>
      <c r="W42" s="211"/>
      <c r="X42" s="210"/>
      <c r="Y42" s="211"/>
      <c r="Z42" s="210"/>
      <c r="AA42" s="211"/>
      <c r="AB42" s="210">
        <v>1</v>
      </c>
      <c r="AC42" s="211">
        <v>15</v>
      </c>
      <c r="AD42" s="210"/>
      <c r="AE42" s="211"/>
      <c r="AF42" s="210"/>
      <c r="AG42" s="211"/>
      <c r="AH42" s="210"/>
      <c r="AI42" s="211"/>
      <c r="AJ42" s="210"/>
      <c r="AK42" s="216"/>
      <c r="AL42" s="78"/>
      <c r="AM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</row>
    <row r="43" spans="1:71" ht="0.75" customHeight="1" thickBot="1">
      <c r="A43" s="54"/>
      <c r="B43" s="210"/>
      <c r="C43" s="212"/>
      <c r="D43" s="210"/>
      <c r="E43" s="213"/>
      <c r="F43" s="211"/>
      <c r="G43" s="211"/>
      <c r="H43" s="232"/>
      <c r="I43" s="212"/>
      <c r="J43" s="210"/>
      <c r="K43" s="211"/>
      <c r="L43" s="212"/>
      <c r="M43" s="212"/>
      <c r="N43" s="210"/>
      <c r="O43" s="211"/>
      <c r="P43" s="210"/>
      <c r="Q43" s="211"/>
      <c r="R43" s="210"/>
      <c r="S43" s="211"/>
      <c r="T43" s="212"/>
      <c r="U43" s="212"/>
      <c r="V43" s="210"/>
      <c r="W43" s="211"/>
      <c r="X43" s="210"/>
      <c r="Y43" s="211"/>
      <c r="Z43" s="210"/>
      <c r="AA43" s="211"/>
      <c r="AB43" s="210"/>
      <c r="AC43" s="211"/>
      <c r="AD43" s="210"/>
      <c r="AE43" s="211"/>
      <c r="AF43" s="210"/>
      <c r="AG43" s="211"/>
      <c r="AH43" s="210"/>
      <c r="AI43" s="211"/>
      <c r="AJ43" s="210"/>
      <c r="AK43" s="216"/>
      <c r="AL43" s="78"/>
      <c r="AM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</row>
    <row r="44" spans="1:71" ht="15.75" customHeight="1">
      <c r="A44" s="192" t="s">
        <v>134</v>
      </c>
      <c r="B44" s="77">
        <f>SUM(B41:B43)</f>
        <v>18</v>
      </c>
      <c r="C44" s="206">
        <f aca="true" t="shared" si="6" ref="C44:AJ44">SUM(C41:C43)</f>
        <v>354</v>
      </c>
      <c r="D44" s="77">
        <f t="shared" si="6"/>
        <v>11</v>
      </c>
      <c r="E44" s="206">
        <f t="shared" si="6"/>
        <v>220</v>
      </c>
      <c r="F44" s="206">
        <f>SUM(F41:F43)</f>
        <v>3</v>
      </c>
      <c r="G44" s="206">
        <f>SUM(G41:G43)</f>
        <v>74</v>
      </c>
      <c r="H44" s="229">
        <f t="shared" si="6"/>
        <v>4</v>
      </c>
      <c r="I44" s="206">
        <f t="shared" si="6"/>
        <v>60</v>
      </c>
      <c r="J44" s="77">
        <f t="shared" si="6"/>
        <v>11</v>
      </c>
      <c r="K44" s="206">
        <f t="shared" si="6"/>
        <v>234</v>
      </c>
      <c r="L44" s="206">
        <f t="shared" si="6"/>
        <v>0</v>
      </c>
      <c r="M44" s="206">
        <f t="shared" si="6"/>
        <v>0</v>
      </c>
      <c r="N44" s="77">
        <f t="shared" si="6"/>
        <v>0</v>
      </c>
      <c r="O44" s="206">
        <f t="shared" si="6"/>
        <v>0</v>
      </c>
      <c r="P44" s="77">
        <f t="shared" si="6"/>
        <v>0</v>
      </c>
      <c r="Q44" s="206">
        <f t="shared" si="6"/>
        <v>0</v>
      </c>
      <c r="R44" s="77">
        <f t="shared" si="6"/>
        <v>3</v>
      </c>
      <c r="S44" s="206">
        <f t="shared" si="6"/>
        <v>60</v>
      </c>
      <c r="T44" s="206">
        <f t="shared" si="6"/>
        <v>0</v>
      </c>
      <c r="U44" s="206">
        <f t="shared" si="6"/>
        <v>0</v>
      </c>
      <c r="V44" s="77">
        <f t="shared" si="6"/>
        <v>0</v>
      </c>
      <c r="W44" s="206">
        <f t="shared" si="6"/>
        <v>0</v>
      </c>
      <c r="X44" s="77">
        <f t="shared" si="6"/>
        <v>0</v>
      </c>
      <c r="Y44" s="206">
        <f t="shared" si="6"/>
        <v>0</v>
      </c>
      <c r="Z44" s="77">
        <f t="shared" si="6"/>
        <v>0</v>
      </c>
      <c r="AA44" s="206">
        <f t="shared" si="6"/>
        <v>0</v>
      </c>
      <c r="AB44" s="77">
        <f t="shared" si="6"/>
        <v>3</v>
      </c>
      <c r="AC44" s="206">
        <f t="shared" si="6"/>
        <v>45</v>
      </c>
      <c r="AD44" s="77">
        <f t="shared" si="6"/>
        <v>0</v>
      </c>
      <c r="AE44" s="206">
        <f t="shared" si="6"/>
        <v>0</v>
      </c>
      <c r="AF44" s="77">
        <f t="shared" si="6"/>
        <v>1</v>
      </c>
      <c r="AG44" s="206">
        <f t="shared" si="6"/>
        <v>15</v>
      </c>
      <c r="AH44" s="77">
        <f t="shared" si="6"/>
        <v>0</v>
      </c>
      <c r="AI44" s="206">
        <f t="shared" si="6"/>
        <v>0</v>
      </c>
      <c r="AJ44" s="77">
        <f t="shared" si="6"/>
        <v>0</v>
      </c>
      <c r="AK44" s="220">
        <f>SUM(AK41:AK43)</f>
        <v>0</v>
      </c>
      <c r="AL44" s="78"/>
      <c r="AM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</row>
    <row r="45" spans="1:71" ht="13.5" customHeight="1" thickBot="1">
      <c r="A45" s="187" t="s">
        <v>135</v>
      </c>
      <c r="B45" s="82"/>
      <c r="C45" s="221"/>
      <c r="D45" s="82"/>
      <c r="E45" s="222"/>
      <c r="F45" s="222"/>
      <c r="G45" s="222"/>
      <c r="H45" s="82"/>
      <c r="I45" s="221"/>
      <c r="J45" s="82"/>
      <c r="K45" s="223"/>
      <c r="L45" s="221"/>
      <c r="M45" s="221"/>
      <c r="N45" s="82"/>
      <c r="O45" s="223"/>
      <c r="P45" s="82"/>
      <c r="Q45" s="223"/>
      <c r="R45" s="82"/>
      <c r="S45" s="223"/>
      <c r="T45" s="221"/>
      <c r="U45" s="221"/>
      <c r="V45" s="82"/>
      <c r="W45" s="223"/>
      <c r="X45" s="82"/>
      <c r="Y45" s="223"/>
      <c r="Z45" s="82"/>
      <c r="AA45" s="223"/>
      <c r="AB45" s="82"/>
      <c r="AC45" s="223"/>
      <c r="AD45" s="82"/>
      <c r="AE45" s="223"/>
      <c r="AF45" s="82"/>
      <c r="AG45" s="223"/>
      <c r="AH45" s="82"/>
      <c r="AI45" s="223"/>
      <c r="AJ45" s="82"/>
      <c r="AK45" s="224"/>
      <c r="AL45" s="78"/>
      <c r="AM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</row>
    <row r="46" spans="1:71" ht="13.5" thickBot="1">
      <c r="A46" s="54" t="s">
        <v>136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217"/>
      <c r="M46" s="217"/>
      <c r="N46" s="56"/>
      <c r="O46" s="56"/>
      <c r="P46" s="56"/>
      <c r="Q46" s="56"/>
      <c r="R46" s="56"/>
      <c r="S46" s="56"/>
      <c r="T46" s="217"/>
      <c r="U46" s="217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218"/>
      <c r="AL46" s="78"/>
      <c r="AM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</row>
    <row r="47" spans="1:71" ht="3.75" customHeight="1" hidden="1">
      <c r="A47" s="54"/>
      <c r="B47" s="209"/>
      <c r="C47" s="212"/>
      <c r="D47" s="213"/>
      <c r="E47" s="213"/>
      <c r="F47" s="233"/>
      <c r="G47" s="233"/>
      <c r="H47" s="209"/>
      <c r="I47" s="212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6"/>
      <c r="AL47" s="78"/>
      <c r="AM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</row>
    <row r="48" spans="1:71" ht="13.5" customHeight="1" thickBot="1">
      <c r="A48" s="76" t="s">
        <v>137</v>
      </c>
      <c r="B48" s="206">
        <v>3</v>
      </c>
      <c r="C48" s="206">
        <v>45</v>
      </c>
      <c r="D48" s="208">
        <f>J48+N48+P48+R48+V48+X48+Z48+L48+T48-F48</f>
        <v>1</v>
      </c>
      <c r="E48" s="207">
        <f>K48+O48+Q48+S48+W48+Y48+AA48+M48+U48-G48</f>
        <v>15</v>
      </c>
      <c r="F48" s="211"/>
      <c r="G48" s="211"/>
      <c r="H48" s="229">
        <v>2</v>
      </c>
      <c r="I48" s="207">
        <v>30</v>
      </c>
      <c r="J48" s="77"/>
      <c r="K48" s="208"/>
      <c r="L48" s="207">
        <v>1</v>
      </c>
      <c r="M48" s="207">
        <v>15</v>
      </c>
      <c r="N48" s="77"/>
      <c r="O48" s="208"/>
      <c r="P48" s="77"/>
      <c r="Q48" s="208"/>
      <c r="R48" s="77"/>
      <c r="S48" s="208"/>
      <c r="T48" s="207"/>
      <c r="U48" s="207"/>
      <c r="V48" s="77"/>
      <c r="W48" s="208"/>
      <c r="X48" s="77"/>
      <c r="Y48" s="208"/>
      <c r="Z48" s="77"/>
      <c r="AA48" s="208"/>
      <c r="AB48" s="77">
        <v>2</v>
      </c>
      <c r="AC48" s="208">
        <v>30</v>
      </c>
      <c r="AD48" s="77"/>
      <c r="AE48" s="208"/>
      <c r="AF48" s="77"/>
      <c r="AG48" s="208"/>
      <c r="AH48" s="77"/>
      <c r="AI48" s="208"/>
      <c r="AJ48" s="77"/>
      <c r="AK48" s="220"/>
      <c r="AL48" s="78"/>
      <c r="AM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</row>
    <row r="49" spans="1:71" ht="13.5" customHeight="1" thickBot="1">
      <c r="A49" s="270" t="s">
        <v>138</v>
      </c>
      <c r="B49" s="206">
        <v>2</v>
      </c>
      <c r="C49" s="206">
        <v>35</v>
      </c>
      <c r="D49" s="272">
        <f>J49+N49+P49+R49+V49+X49+Z49+L49+T49-F49</f>
        <v>1</v>
      </c>
      <c r="E49" s="207">
        <v>20</v>
      </c>
      <c r="F49" s="211"/>
      <c r="G49" s="211"/>
      <c r="H49" s="232">
        <v>1</v>
      </c>
      <c r="I49" s="212">
        <v>15</v>
      </c>
      <c r="J49" s="210">
        <v>1</v>
      </c>
      <c r="K49" s="211">
        <v>20</v>
      </c>
      <c r="L49" s="212"/>
      <c r="M49" s="212"/>
      <c r="N49" s="210"/>
      <c r="O49" s="211"/>
      <c r="P49" s="210"/>
      <c r="Q49" s="211"/>
      <c r="R49" s="210"/>
      <c r="S49" s="211"/>
      <c r="T49" s="212"/>
      <c r="U49" s="212"/>
      <c r="V49" s="210"/>
      <c r="W49" s="211"/>
      <c r="X49" s="210"/>
      <c r="Y49" s="211"/>
      <c r="Z49" s="210"/>
      <c r="AA49" s="211"/>
      <c r="AB49" s="210">
        <v>1</v>
      </c>
      <c r="AC49" s="211">
        <v>15</v>
      </c>
      <c r="AD49" s="210"/>
      <c r="AE49" s="211"/>
      <c r="AF49" s="210"/>
      <c r="AG49" s="211"/>
      <c r="AH49" s="210"/>
      <c r="AI49" s="211"/>
      <c r="AJ49" s="210"/>
      <c r="AK49" s="216"/>
      <c r="AL49" s="78"/>
      <c r="AM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</row>
    <row r="50" spans="1:71" ht="6.75" customHeight="1" hidden="1">
      <c r="A50" s="54"/>
      <c r="B50" s="210"/>
      <c r="C50" s="212"/>
      <c r="D50" s="207">
        <f>J50+N50+P50+R50+V50+X50+Z50+L50+T50</f>
        <v>0</v>
      </c>
      <c r="E50" s="226">
        <f>K50+O50+Q50+S50+W50+Y50+AA50+M50+U50</f>
        <v>0</v>
      </c>
      <c r="F50" s="211"/>
      <c r="G50" s="211"/>
      <c r="H50" s="232"/>
      <c r="I50" s="212"/>
      <c r="J50" s="210"/>
      <c r="K50" s="211"/>
      <c r="L50" s="212"/>
      <c r="M50" s="212"/>
      <c r="N50" s="210"/>
      <c r="O50" s="211"/>
      <c r="P50" s="210"/>
      <c r="Q50" s="211"/>
      <c r="R50" s="210"/>
      <c r="S50" s="211"/>
      <c r="T50" s="212"/>
      <c r="U50" s="212"/>
      <c r="V50" s="210"/>
      <c r="W50" s="211"/>
      <c r="X50" s="210"/>
      <c r="Y50" s="211"/>
      <c r="Z50" s="210"/>
      <c r="AA50" s="211"/>
      <c r="AB50" s="210"/>
      <c r="AC50" s="211"/>
      <c r="AD50" s="210"/>
      <c r="AE50" s="211"/>
      <c r="AF50" s="210"/>
      <c r="AG50" s="211"/>
      <c r="AH50" s="210"/>
      <c r="AI50" s="211"/>
      <c r="AJ50" s="210"/>
      <c r="AK50" s="216"/>
      <c r="AL50" s="78"/>
      <c r="AM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</row>
    <row r="51" spans="1:71" ht="12.75">
      <c r="A51" s="192" t="s">
        <v>139</v>
      </c>
      <c r="B51" s="77">
        <f>SUM(B48:B50)</f>
        <v>5</v>
      </c>
      <c r="C51" s="206">
        <f aca="true" t="shared" si="7" ref="C51:AJ51">SUM(C48:C50)</f>
        <v>80</v>
      </c>
      <c r="D51" s="77">
        <f t="shared" si="7"/>
        <v>2</v>
      </c>
      <c r="E51" s="206">
        <f t="shared" si="7"/>
        <v>35</v>
      </c>
      <c r="F51" s="206">
        <f>SUM(F48:F50)</f>
        <v>0</v>
      </c>
      <c r="G51" s="206">
        <f>SUM(G48:G50)</f>
        <v>0</v>
      </c>
      <c r="H51" s="229">
        <f t="shared" si="7"/>
        <v>3</v>
      </c>
      <c r="I51" s="206">
        <f t="shared" si="7"/>
        <v>45</v>
      </c>
      <c r="J51" s="77">
        <f t="shared" si="7"/>
        <v>1</v>
      </c>
      <c r="K51" s="206">
        <f t="shared" si="7"/>
        <v>20</v>
      </c>
      <c r="L51" s="206">
        <f t="shared" si="7"/>
        <v>1</v>
      </c>
      <c r="M51" s="206">
        <f t="shared" si="7"/>
        <v>15</v>
      </c>
      <c r="N51" s="77">
        <f t="shared" si="7"/>
        <v>0</v>
      </c>
      <c r="O51" s="206">
        <f t="shared" si="7"/>
        <v>0</v>
      </c>
      <c r="P51" s="77">
        <f t="shared" si="7"/>
        <v>0</v>
      </c>
      <c r="Q51" s="206">
        <f t="shared" si="7"/>
        <v>0</v>
      </c>
      <c r="R51" s="77">
        <f t="shared" si="7"/>
        <v>0</v>
      </c>
      <c r="S51" s="206">
        <f t="shared" si="7"/>
        <v>0</v>
      </c>
      <c r="T51" s="206">
        <f t="shared" si="7"/>
        <v>0</v>
      </c>
      <c r="U51" s="206">
        <f t="shared" si="7"/>
        <v>0</v>
      </c>
      <c r="V51" s="77">
        <f t="shared" si="7"/>
        <v>0</v>
      </c>
      <c r="W51" s="206">
        <f t="shared" si="7"/>
        <v>0</v>
      </c>
      <c r="X51" s="77">
        <f t="shared" si="7"/>
        <v>0</v>
      </c>
      <c r="Y51" s="206">
        <f t="shared" si="7"/>
        <v>0</v>
      </c>
      <c r="Z51" s="77">
        <f t="shared" si="7"/>
        <v>0</v>
      </c>
      <c r="AA51" s="206">
        <f t="shared" si="7"/>
        <v>0</v>
      </c>
      <c r="AB51" s="77">
        <f t="shared" si="7"/>
        <v>3</v>
      </c>
      <c r="AC51" s="206">
        <f t="shared" si="7"/>
        <v>45</v>
      </c>
      <c r="AD51" s="77">
        <f t="shared" si="7"/>
        <v>0</v>
      </c>
      <c r="AE51" s="206">
        <f t="shared" si="7"/>
        <v>0</v>
      </c>
      <c r="AF51" s="77">
        <f t="shared" si="7"/>
        <v>0</v>
      </c>
      <c r="AG51" s="206">
        <f t="shared" si="7"/>
        <v>0</v>
      </c>
      <c r="AH51" s="77">
        <f t="shared" si="7"/>
        <v>0</v>
      </c>
      <c r="AI51" s="206">
        <f t="shared" si="7"/>
        <v>0</v>
      </c>
      <c r="AJ51" s="77">
        <f t="shared" si="7"/>
        <v>0</v>
      </c>
      <c r="AK51" s="220">
        <f>SUM(AK48:AK50)</f>
        <v>0</v>
      </c>
      <c r="AL51" s="78"/>
      <c r="AM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</row>
    <row r="52" spans="1:71" ht="13.5" thickBot="1">
      <c r="A52" s="187" t="s">
        <v>323</v>
      </c>
      <c r="B52" s="82"/>
      <c r="C52" s="221"/>
      <c r="D52" s="82"/>
      <c r="E52" s="222"/>
      <c r="F52" s="222"/>
      <c r="G52" s="222"/>
      <c r="H52" s="82"/>
      <c r="I52" s="221"/>
      <c r="J52" s="82"/>
      <c r="K52" s="223"/>
      <c r="L52" s="221"/>
      <c r="M52" s="221"/>
      <c r="N52" s="82"/>
      <c r="O52" s="223"/>
      <c r="P52" s="82"/>
      <c r="Q52" s="223"/>
      <c r="R52" s="82"/>
      <c r="S52" s="223"/>
      <c r="T52" s="221"/>
      <c r="U52" s="221"/>
      <c r="V52" s="82"/>
      <c r="W52" s="223"/>
      <c r="X52" s="82"/>
      <c r="Y52" s="223"/>
      <c r="Z52" s="82"/>
      <c r="AA52" s="223"/>
      <c r="AB52" s="82"/>
      <c r="AC52" s="223"/>
      <c r="AD52" s="82"/>
      <c r="AE52" s="223"/>
      <c r="AF52" s="82"/>
      <c r="AG52" s="223"/>
      <c r="AH52" s="82"/>
      <c r="AI52" s="223"/>
      <c r="AJ52" s="82"/>
      <c r="AK52" s="224"/>
      <c r="AL52" s="78"/>
      <c r="AM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</row>
    <row r="53" spans="1:71" ht="18.75" customHeight="1">
      <c r="A53" s="54" t="s">
        <v>140</v>
      </c>
      <c r="B53" s="77">
        <f>B51+B44+B34+B38</f>
        <v>128</v>
      </c>
      <c r="C53" s="77">
        <f aca="true" t="shared" si="8" ref="C53:AJ53">C51+C44+C34+C38</f>
        <v>2263</v>
      </c>
      <c r="D53" s="77">
        <f t="shared" si="8"/>
        <v>83</v>
      </c>
      <c r="E53" s="77">
        <f t="shared" si="8"/>
        <v>1509</v>
      </c>
      <c r="F53" s="77">
        <f t="shared" si="8"/>
        <v>7</v>
      </c>
      <c r="G53" s="77">
        <f t="shared" si="8"/>
        <v>184</v>
      </c>
      <c r="H53" s="77">
        <f t="shared" si="8"/>
        <v>38</v>
      </c>
      <c r="I53" s="77">
        <f t="shared" si="8"/>
        <v>570</v>
      </c>
      <c r="J53" s="77">
        <f t="shared" si="8"/>
        <v>58</v>
      </c>
      <c r="K53" s="77">
        <f t="shared" si="8"/>
        <v>1204</v>
      </c>
      <c r="L53" s="77">
        <f t="shared" si="8"/>
        <v>2</v>
      </c>
      <c r="M53" s="77">
        <f t="shared" si="8"/>
        <v>30</v>
      </c>
      <c r="N53" s="77">
        <f t="shared" si="8"/>
        <v>16</v>
      </c>
      <c r="O53" s="77">
        <f t="shared" si="8"/>
        <v>189</v>
      </c>
      <c r="P53" s="77">
        <f t="shared" si="8"/>
        <v>0</v>
      </c>
      <c r="Q53" s="77">
        <f t="shared" si="8"/>
        <v>0</v>
      </c>
      <c r="R53" s="77">
        <f t="shared" si="8"/>
        <v>11</v>
      </c>
      <c r="S53" s="77">
        <f t="shared" si="8"/>
        <v>220</v>
      </c>
      <c r="T53" s="77">
        <f t="shared" si="8"/>
        <v>1</v>
      </c>
      <c r="U53" s="77">
        <f t="shared" si="8"/>
        <v>15</v>
      </c>
      <c r="V53" s="77">
        <f t="shared" si="8"/>
        <v>0</v>
      </c>
      <c r="W53" s="77">
        <f t="shared" si="8"/>
        <v>0</v>
      </c>
      <c r="X53" s="77">
        <f t="shared" si="8"/>
        <v>1</v>
      </c>
      <c r="Y53" s="77">
        <f t="shared" si="8"/>
        <v>15</v>
      </c>
      <c r="Z53" s="77">
        <f t="shared" si="8"/>
        <v>1</v>
      </c>
      <c r="AA53" s="77">
        <f t="shared" si="8"/>
        <v>20</v>
      </c>
      <c r="AB53" s="77">
        <f t="shared" si="8"/>
        <v>24</v>
      </c>
      <c r="AC53" s="77">
        <f t="shared" si="8"/>
        <v>360</v>
      </c>
      <c r="AD53" s="77">
        <f t="shared" si="8"/>
        <v>0</v>
      </c>
      <c r="AE53" s="77">
        <f t="shared" si="8"/>
        <v>0</v>
      </c>
      <c r="AF53" s="77">
        <f t="shared" si="8"/>
        <v>13</v>
      </c>
      <c r="AG53" s="77">
        <f t="shared" si="8"/>
        <v>195</v>
      </c>
      <c r="AH53" s="77">
        <f t="shared" si="8"/>
        <v>0</v>
      </c>
      <c r="AI53" s="77">
        <f t="shared" si="8"/>
        <v>0</v>
      </c>
      <c r="AJ53" s="77">
        <f t="shared" si="8"/>
        <v>1</v>
      </c>
      <c r="AK53" s="77">
        <f>AK51+AK44+AK34+AK38</f>
        <v>15</v>
      </c>
      <c r="AL53" s="77">
        <f>AL51+AL44+AL34+AL38</f>
        <v>0</v>
      </c>
      <c r="AM53" s="77">
        <f>AM51+AM44+AM34+AM38</f>
        <v>0</v>
      </c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</row>
    <row r="54" spans="1:37" ht="12" customHeight="1" thickBot="1">
      <c r="A54" s="79" t="s">
        <v>141</v>
      </c>
      <c r="B54" s="80"/>
      <c r="C54" s="81"/>
      <c r="D54" s="80"/>
      <c r="E54" s="81"/>
      <c r="F54" s="228"/>
      <c r="G54" s="228"/>
      <c r="H54" s="82"/>
      <c r="I54" s="81"/>
      <c r="J54" s="82"/>
      <c r="K54" s="81"/>
      <c r="L54" s="83"/>
      <c r="M54" s="83"/>
      <c r="N54" s="80"/>
      <c r="O54" s="81"/>
      <c r="P54" s="80"/>
      <c r="Q54" s="81"/>
      <c r="R54" s="80"/>
      <c r="S54" s="81"/>
      <c r="T54" s="83"/>
      <c r="U54" s="83"/>
      <c r="V54" s="80"/>
      <c r="W54" s="81"/>
      <c r="X54" s="80"/>
      <c r="Y54" s="81"/>
      <c r="Z54" s="80"/>
      <c r="AA54" s="81"/>
      <c r="AB54" s="80"/>
      <c r="AC54" s="81"/>
      <c r="AD54" s="80"/>
      <c r="AE54" s="81"/>
      <c r="AF54" s="80"/>
      <c r="AG54" s="81"/>
      <c r="AH54" s="80"/>
      <c r="AI54" s="81"/>
      <c r="AJ54" s="80"/>
      <c r="AK54" s="84"/>
    </row>
    <row r="55" spans="1:40" ht="12.75" hidden="1">
      <c r="A55" s="54"/>
      <c r="AN55" s="265"/>
    </row>
    <row r="56" spans="1:71" ht="11.25" customHeight="1" hidden="1">
      <c r="A56" s="67"/>
      <c r="B56" s="210"/>
      <c r="C56" s="212"/>
      <c r="D56" s="207"/>
      <c r="E56" s="207"/>
      <c r="F56" s="227"/>
      <c r="G56" s="227"/>
      <c r="H56" s="210"/>
      <c r="I56" s="212"/>
      <c r="J56" s="210"/>
      <c r="K56" s="211"/>
      <c r="L56" s="212"/>
      <c r="M56" s="212"/>
      <c r="N56" s="210"/>
      <c r="O56" s="211"/>
      <c r="P56" s="210"/>
      <c r="Q56" s="211"/>
      <c r="R56" s="210"/>
      <c r="S56" s="211"/>
      <c r="T56" s="212"/>
      <c r="U56" s="212"/>
      <c r="V56" s="210"/>
      <c r="W56" s="211"/>
      <c r="X56" s="210"/>
      <c r="Y56" s="211"/>
      <c r="Z56" s="210"/>
      <c r="AA56" s="211"/>
      <c r="AB56" s="210"/>
      <c r="AC56" s="211"/>
      <c r="AD56" s="210"/>
      <c r="AE56" s="211"/>
      <c r="AF56" s="210"/>
      <c r="AG56" s="211"/>
      <c r="AH56" s="210"/>
      <c r="AI56" s="211"/>
      <c r="AJ56" s="210"/>
      <c r="AK56" s="210"/>
      <c r="AL56" s="78"/>
      <c r="AM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</row>
    <row r="57" spans="1:71" ht="9" customHeight="1" hidden="1">
      <c r="A57" s="72"/>
      <c r="B57" s="210"/>
      <c r="C57" s="212"/>
      <c r="D57" s="210"/>
      <c r="E57" s="213"/>
      <c r="F57" s="213"/>
      <c r="G57" s="213"/>
      <c r="H57" s="210"/>
      <c r="I57" s="212"/>
      <c r="J57" s="210"/>
      <c r="K57" s="211"/>
      <c r="L57" s="212"/>
      <c r="M57" s="212"/>
      <c r="N57" s="210"/>
      <c r="O57" s="211"/>
      <c r="P57" s="210"/>
      <c r="Q57" s="211"/>
      <c r="R57" s="210"/>
      <c r="S57" s="211"/>
      <c r="T57" s="212"/>
      <c r="U57" s="212"/>
      <c r="V57" s="210"/>
      <c r="W57" s="211"/>
      <c r="X57" s="210"/>
      <c r="Y57" s="211"/>
      <c r="Z57" s="210"/>
      <c r="AA57" s="211"/>
      <c r="AB57" s="210"/>
      <c r="AC57" s="211"/>
      <c r="AD57" s="210"/>
      <c r="AE57" s="211"/>
      <c r="AF57" s="210"/>
      <c r="AG57" s="211"/>
      <c r="AH57" s="210"/>
      <c r="AI57" s="211"/>
      <c r="AJ57" s="210"/>
      <c r="AK57" s="210"/>
      <c r="AL57" s="78"/>
      <c r="AM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</row>
    <row r="58" ht="3.75" customHeight="1">
      <c r="AN58" s="265"/>
    </row>
    <row r="59" spans="1:39" ht="12.75" customHeight="1" hidden="1">
      <c r="A59" s="225" t="s">
        <v>142</v>
      </c>
      <c r="B59" s="219">
        <f>B56+B53</f>
        <v>128</v>
      </c>
      <c r="C59" s="219">
        <f aca="true" t="shared" si="9" ref="C59:AH59">C56+C53</f>
        <v>2263</v>
      </c>
      <c r="D59" s="219">
        <f t="shared" si="9"/>
        <v>83</v>
      </c>
      <c r="E59" s="219">
        <f t="shared" si="9"/>
        <v>1509</v>
      </c>
      <c r="F59" s="219"/>
      <c r="G59" s="219"/>
      <c r="H59" s="219">
        <f t="shared" si="9"/>
        <v>38</v>
      </c>
      <c r="I59" s="219">
        <f t="shared" si="9"/>
        <v>570</v>
      </c>
      <c r="J59" s="219">
        <f t="shared" si="9"/>
        <v>58</v>
      </c>
      <c r="K59" s="219">
        <f t="shared" si="9"/>
        <v>1204</v>
      </c>
      <c r="L59" s="219">
        <f t="shared" si="9"/>
        <v>2</v>
      </c>
      <c r="M59" s="219">
        <f t="shared" si="9"/>
        <v>30</v>
      </c>
      <c r="N59" s="219">
        <f t="shared" si="9"/>
        <v>16</v>
      </c>
      <c r="O59" s="219">
        <f t="shared" si="9"/>
        <v>189</v>
      </c>
      <c r="P59" s="219">
        <f t="shared" si="9"/>
        <v>0</v>
      </c>
      <c r="Q59" s="219">
        <f t="shared" si="9"/>
        <v>0</v>
      </c>
      <c r="R59" s="219">
        <f t="shared" si="9"/>
        <v>11</v>
      </c>
      <c r="S59" s="219">
        <f t="shared" si="9"/>
        <v>220</v>
      </c>
      <c r="T59" s="219">
        <f t="shared" si="9"/>
        <v>1</v>
      </c>
      <c r="U59" s="219">
        <f t="shared" si="9"/>
        <v>15</v>
      </c>
      <c r="V59" s="219">
        <f t="shared" si="9"/>
        <v>0</v>
      </c>
      <c r="W59" s="219">
        <f t="shared" si="9"/>
        <v>0</v>
      </c>
      <c r="X59" s="219">
        <f t="shared" si="9"/>
        <v>1</v>
      </c>
      <c r="Y59" s="219">
        <f t="shared" si="9"/>
        <v>15</v>
      </c>
      <c r="Z59" s="219">
        <f t="shared" si="9"/>
        <v>1</v>
      </c>
      <c r="AA59" s="219">
        <f t="shared" si="9"/>
        <v>20</v>
      </c>
      <c r="AB59" s="219">
        <f t="shared" si="9"/>
        <v>24</v>
      </c>
      <c r="AC59" s="219">
        <f t="shared" si="9"/>
        <v>360</v>
      </c>
      <c r="AD59" s="219">
        <f t="shared" si="9"/>
        <v>0</v>
      </c>
      <c r="AE59" s="219">
        <f t="shared" si="9"/>
        <v>0</v>
      </c>
      <c r="AF59" s="219">
        <f t="shared" si="9"/>
        <v>13</v>
      </c>
      <c r="AG59" s="219">
        <f t="shared" si="9"/>
        <v>195</v>
      </c>
      <c r="AH59" s="219">
        <f t="shared" si="9"/>
        <v>0</v>
      </c>
      <c r="AI59" s="219">
        <f>AI56+AI53</f>
        <v>0</v>
      </c>
      <c r="AJ59" s="219">
        <f>AJ56+AJ53</f>
        <v>1</v>
      </c>
      <c r="AK59" s="219">
        <f>AK56+AK53</f>
        <v>15</v>
      </c>
      <c r="AL59" s="219">
        <f>AL56+AL53</f>
        <v>0</v>
      </c>
      <c r="AM59" s="219">
        <f>AM56+AM53</f>
        <v>0</v>
      </c>
    </row>
    <row r="60" spans="8:37" ht="6" customHeight="1">
      <c r="H60" s="57"/>
      <c r="J60" s="57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</row>
    <row r="61" spans="1:18" ht="12.75" hidden="1">
      <c r="A61" s="57" t="s">
        <v>42</v>
      </c>
      <c r="H61" s="57"/>
      <c r="J61" s="57"/>
      <c r="R61" s="57" t="s">
        <v>43</v>
      </c>
    </row>
    <row r="62" spans="1:50" s="1" customFormat="1" ht="15">
      <c r="A62" s="104"/>
      <c r="O62" s="104"/>
      <c r="AN62" s="265"/>
      <c r="AO62"/>
      <c r="AP62"/>
      <c r="AQ62"/>
      <c r="AR62"/>
      <c r="AS62"/>
      <c r="AT62"/>
      <c r="AU62"/>
      <c r="AV62"/>
      <c r="AW62"/>
      <c r="AX62"/>
    </row>
    <row r="63" spans="1:20" ht="11.25" customHeight="1">
      <c r="A63" s="88"/>
      <c r="B63" s="88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45"/>
      <c r="P63" s="45"/>
      <c r="Q63" s="22"/>
      <c r="R63" s="22"/>
      <c r="S63" s="22"/>
      <c r="T63" s="22"/>
    </row>
    <row r="64" spans="1:69" s="22" customFormat="1" ht="12.75" hidden="1">
      <c r="A64" s="88" t="s">
        <v>165</v>
      </c>
      <c r="B64" s="88"/>
      <c r="O64" s="45"/>
      <c r="P64" s="45"/>
      <c r="R64" s="22" t="s">
        <v>192</v>
      </c>
      <c r="AA64" s="45"/>
      <c r="AB64" s="45"/>
      <c r="AI64" s="45"/>
      <c r="AJ64" s="45"/>
      <c r="AK64" s="45"/>
      <c r="AL64" s="45"/>
      <c r="AN64" s="265"/>
      <c r="AO64"/>
      <c r="AP64"/>
      <c r="AQ64"/>
      <c r="AR64"/>
      <c r="AS64"/>
      <c r="AT64"/>
      <c r="AU64"/>
      <c r="AV64"/>
      <c r="AW64"/>
      <c r="AX64"/>
      <c r="BI64"/>
      <c r="BJ64"/>
      <c r="BK64"/>
      <c r="BL64"/>
      <c r="BM64"/>
      <c r="BN64"/>
      <c r="BO64"/>
      <c r="BP64"/>
      <c r="BQ64"/>
    </row>
    <row r="68" spans="1:20" ht="12.75">
      <c r="A68" s="88" t="s">
        <v>310</v>
      </c>
      <c r="B68" s="88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45"/>
      <c r="P68" s="45"/>
      <c r="Q68" s="22"/>
      <c r="R68" s="22" t="s">
        <v>332</v>
      </c>
      <c r="S68" s="22"/>
      <c r="T68" s="22"/>
    </row>
  </sheetData>
  <printOptions/>
  <pageMargins left="0.17" right="0.16" top="0.52" bottom="0.18" header="0.5" footer="0.5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P33" sqref="P33"/>
    </sheetView>
  </sheetViews>
  <sheetFormatPr defaultColWidth="9.00390625" defaultRowHeight="12.75"/>
  <cols>
    <col min="1" max="1" width="18.125" style="1" customWidth="1"/>
    <col min="2" max="2" width="7.875" style="1" customWidth="1"/>
    <col min="3" max="3" width="9.25390625" style="1" customWidth="1"/>
    <col min="4" max="4" width="9.75390625" style="1" customWidth="1"/>
    <col min="5" max="5" width="0.12890625" style="1" customWidth="1"/>
    <col min="6" max="6" width="6.625" style="1" customWidth="1"/>
    <col min="7" max="7" width="7.00390625" style="1" customWidth="1"/>
    <col min="8" max="8" width="6.375" style="1" customWidth="1"/>
    <col min="9" max="9" width="7.75390625" style="1" customWidth="1"/>
    <col min="10" max="10" width="8.00390625" style="1" customWidth="1"/>
    <col min="11" max="11" width="7.00390625" style="1" customWidth="1"/>
    <col min="12" max="12" width="6.75390625" style="1" customWidth="1"/>
    <col min="13" max="13" width="0.12890625" style="1" customWidth="1"/>
    <col min="14" max="14" width="0.12890625" style="1" hidden="1" customWidth="1"/>
    <col min="15" max="16384" width="9.125" style="1" customWidth="1"/>
  </cols>
  <sheetData>
    <row r="1" spans="7:11" ht="15">
      <c r="G1" s="1" t="s">
        <v>190</v>
      </c>
      <c r="H1"/>
      <c r="I1"/>
      <c r="J1"/>
      <c r="K1"/>
    </row>
    <row r="2" spans="6:11" ht="15">
      <c r="F2" s="1" t="s">
        <v>293</v>
      </c>
      <c r="H2"/>
      <c r="I2"/>
      <c r="J2"/>
      <c r="K2"/>
    </row>
    <row r="3" spans="6:11" ht="15">
      <c r="F3" s="1" t="s">
        <v>294</v>
      </c>
      <c r="H3"/>
      <c r="I3"/>
      <c r="J3"/>
      <c r="K3"/>
    </row>
    <row r="4" spans="2:3" ht="15" customHeight="1">
      <c r="B4"/>
      <c r="C4" s="1" t="s">
        <v>187</v>
      </c>
    </row>
    <row r="5" ht="6.75" customHeight="1"/>
    <row r="6" spans="1:14" s="102" customFormat="1" ht="97.5" customHeight="1">
      <c r="A6" s="101"/>
      <c r="B6" s="237" t="s">
        <v>304</v>
      </c>
      <c r="C6" s="236" t="s">
        <v>256</v>
      </c>
      <c r="D6" s="236" t="s">
        <v>258</v>
      </c>
      <c r="E6" s="236" t="s">
        <v>322</v>
      </c>
      <c r="F6" s="236" t="s">
        <v>324</v>
      </c>
      <c r="G6" s="236" t="s">
        <v>325</v>
      </c>
      <c r="H6" s="236" t="s">
        <v>280</v>
      </c>
      <c r="I6" s="237" t="s">
        <v>279</v>
      </c>
      <c r="J6" s="236" t="s">
        <v>320</v>
      </c>
      <c r="K6" s="236" t="s">
        <v>326</v>
      </c>
      <c r="L6" s="153" t="s">
        <v>327</v>
      </c>
      <c r="M6" s="260" t="s">
        <v>313</v>
      </c>
      <c r="N6" s="259"/>
    </row>
    <row r="7" spans="1:14" ht="15">
      <c r="A7" s="2" t="s">
        <v>76</v>
      </c>
      <c r="B7" s="3">
        <v>0.5</v>
      </c>
      <c r="C7" s="3"/>
      <c r="D7" s="3"/>
      <c r="E7" s="3"/>
      <c r="F7" s="3"/>
      <c r="G7" s="3"/>
      <c r="H7" s="3"/>
      <c r="I7" s="3"/>
      <c r="J7" s="3">
        <v>1</v>
      </c>
      <c r="K7" s="3"/>
      <c r="L7" s="253"/>
      <c r="M7" s="2"/>
      <c r="N7" s="255"/>
    </row>
    <row r="8" spans="1:14" ht="15">
      <c r="A8" s="2" t="s">
        <v>78</v>
      </c>
      <c r="B8" s="3">
        <v>0.5</v>
      </c>
      <c r="C8" s="3"/>
      <c r="D8" s="3"/>
      <c r="E8" s="3"/>
      <c r="F8" s="3">
        <v>0.5</v>
      </c>
      <c r="G8" s="3"/>
      <c r="H8" s="3"/>
      <c r="I8" s="3"/>
      <c r="J8" s="3">
        <v>0.5</v>
      </c>
      <c r="K8" s="3"/>
      <c r="L8" s="253"/>
      <c r="M8" s="2"/>
      <c r="N8" s="256"/>
    </row>
    <row r="9" spans="1:14" ht="18" customHeight="1">
      <c r="A9" s="2" t="s">
        <v>81</v>
      </c>
      <c r="B9" s="3"/>
      <c r="C9" s="3"/>
      <c r="D9" s="3"/>
      <c r="E9" s="3"/>
      <c r="F9" s="3"/>
      <c r="G9" s="3"/>
      <c r="H9" s="3"/>
      <c r="I9" s="3"/>
      <c r="J9" s="3">
        <v>0.75</v>
      </c>
      <c r="K9" s="3"/>
      <c r="L9" s="253"/>
      <c r="M9" s="2"/>
      <c r="N9" s="256"/>
    </row>
    <row r="10" spans="1:14" ht="16.5" customHeight="1">
      <c r="A10" s="2" t="s">
        <v>82</v>
      </c>
      <c r="B10" s="3"/>
      <c r="C10" s="3"/>
      <c r="D10" s="3"/>
      <c r="E10" s="3"/>
      <c r="F10" s="3"/>
      <c r="G10" s="3"/>
      <c r="H10" s="3"/>
      <c r="I10" s="3"/>
      <c r="J10" s="3">
        <v>1.5</v>
      </c>
      <c r="K10" s="3"/>
      <c r="L10" s="253"/>
      <c r="M10" s="2"/>
      <c r="N10" s="256"/>
    </row>
    <row r="11" spans="1:14" ht="15">
      <c r="A11" s="2" t="s">
        <v>83</v>
      </c>
      <c r="B11" s="3">
        <v>0.5</v>
      </c>
      <c r="C11" s="3"/>
      <c r="D11" s="3">
        <v>1</v>
      </c>
      <c r="E11" s="3"/>
      <c r="F11" s="3"/>
      <c r="G11" s="3"/>
      <c r="H11" s="3"/>
      <c r="I11" s="3"/>
      <c r="J11" s="3">
        <v>1</v>
      </c>
      <c r="K11" s="3"/>
      <c r="L11" s="253"/>
      <c r="M11" s="2"/>
      <c r="N11" s="256"/>
    </row>
    <row r="12" spans="1:14" ht="15">
      <c r="A12" s="2" t="s">
        <v>84</v>
      </c>
      <c r="B12" s="3">
        <v>0.5</v>
      </c>
      <c r="C12" s="3"/>
      <c r="D12" s="3">
        <v>1</v>
      </c>
      <c r="E12" s="3"/>
      <c r="F12" s="3"/>
      <c r="G12" s="3"/>
      <c r="H12" s="3"/>
      <c r="I12" s="3"/>
      <c r="J12" s="3">
        <v>1</v>
      </c>
      <c r="K12" s="3"/>
      <c r="L12" s="253"/>
      <c r="M12" s="2"/>
      <c r="N12" s="256"/>
    </row>
    <row r="13" spans="1:14" ht="15" customHeight="1">
      <c r="A13" s="2" t="s">
        <v>144</v>
      </c>
      <c r="B13" s="3"/>
      <c r="C13" s="3"/>
      <c r="D13" s="3"/>
      <c r="E13" s="3"/>
      <c r="F13" s="3">
        <v>1</v>
      </c>
      <c r="G13" s="3"/>
      <c r="H13" s="3"/>
      <c r="I13" s="3"/>
      <c r="J13" s="3">
        <v>0.75</v>
      </c>
      <c r="K13" s="3"/>
      <c r="L13" s="253"/>
      <c r="M13" s="2"/>
      <c r="N13" s="256"/>
    </row>
    <row r="14" spans="1:14" ht="14.25" customHeight="1">
      <c r="A14" s="2" t="s">
        <v>85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253"/>
      <c r="M14" s="2"/>
      <c r="N14" s="256"/>
    </row>
    <row r="15" spans="1:14" ht="15">
      <c r="A15" s="2" t="s">
        <v>145</v>
      </c>
      <c r="B15" s="3"/>
      <c r="C15" s="3">
        <v>0.5</v>
      </c>
      <c r="D15" s="3"/>
      <c r="E15" s="3"/>
      <c r="F15" s="3">
        <v>1</v>
      </c>
      <c r="G15" s="3">
        <v>1</v>
      </c>
      <c r="H15" s="3">
        <v>1</v>
      </c>
      <c r="I15" s="3">
        <v>1</v>
      </c>
      <c r="J15" s="3">
        <v>0.25</v>
      </c>
      <c r="K15" s="3"/>
      <c r="L15" s="253"/>
      <c r="M15" s="2"/>
      <c r="N15" s="256"/>
    </row>
    <row r="16" spans="1:14" ht="15">
      <c r="A16" s="2" t="s">
        <v>146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253"/>
      <c r="M16" s="2"/>
      <c r="N16" s="256"/>
    </row>
    <row r="17" spans="1:14" ht="15">
      <c r="A17" s="2" t="s">
        <v>147</v>
      </c>
      <c r="B17" s="3"/>
      <c r="C17" s="3"/>
      <c r="D17" s="3"/>
      <c r="E17" s="3"/>
      <c r="F17" s="3">
        <v>0.5</v>
      </c>
      <c r="G17" s="3">
        <v>0.5</v>
      </c>
      <c r="H17" s="3"/>
      <c r="I17" s="3"/>
      <c r="J17" s="3"/>
      <c r="K17" s="3"/>
      <c r="L17" s="253"/>
      <c r="M17" s="2"/>
      <c r="N17" s="256"/>
    </row>
    <row r="18" spans="1:14" ht="15" hidden="1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253"/>
      <c r="M18" s="2"/>
      <c r="N18" s="256"/>
    </row>
    <row r="19" spans="1:14" ht="6" customHeight="1" hidden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253"/>
      <c r="M19" s="2"/>
      <c r="N19" s="256"/>
    </row>
    <row r="20" spans="1:14" ht="15">
      <c r="A20" s="2" t="s">
        <v>148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253"/>
      <c r="M20" s="3">
        <v>1</v>
      </c>
      <c r="N20" s="256"/>
    </row>
    <row r="21" spans="1:14" ht="15">
      <c r="A21" s="2" t="s">
        <v>149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253"/>
      <c r="M21" s="2"/>
      <c r="N21" s="256"/>
    </row>
    <row r="22" spans="1:14" ht="15">
      <c r="A22" s="2" t="s">
        <v>150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253"/>
      <c r="M22" s="2"/>
      <c r="N22" s="256"/>
    </row>
    <row r="23" spans="1:14" ht="15">
      <c r="A23" s="2" t="s">
        <v>151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253"/>
      <c r="M23" s="2"/>
      <c r="N23" s="256"/>
    </row>
    <row r="24" spans="1:14" ht="15">
      <c r="A24" s="2" t="s">
        <v>193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253"/>
      <c r="M24" s="2"/>
      <c r="N24" s="256"/>
    </row>
    <row r="25" spans="1:14" ht="0.75" customHeight="1" hidden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253"/>
      <c r="M25" s="2"/>
      <c r="N25" s="256"/>
    </row>
    <row r="26" spans="1:14" ht="15">
      <c r="A26" s="2" t="s">
        <v>152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253"/>
      <c r="M26" s="2"/>
      <c r="N26" s="256"/>
    </row>
    <row r="27" spans="1:14" ht="15">
      <c r="A27" s="2" t="s">
        <v>153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253"/>
      <c r="M27" s="2"/>
      <c r="N27" s="256"/>
    </row>
    <row r="28" spans="1:14" ht="15">
      <c r="A28" s="2" t="s">
        <v>154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253"/>
      <c r="M28" s="2"/>
      <c r="N28" s="256"/>
    </row>
    <row r="29" spans="1:14" ht="15">
      <c r="A29" s="2" t="s">
        <v>155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253"/>
      <c r="M29" s="2"/>
      <c r="N29" s="256"/>
    </row>
    <row r="30" spans="1:14" ht="15">
      <c r="A30" s="2" t="s">
        <v>156</v>
      </c>
      <c r="B30" s="3"/>
      <c r="C30" s="3"/>
      <c r="D30" s="3"/>
      <c r="E30" s="3"/>
      <c r="F30" s="3">
        <v>2</v>
      </c>
      <c r="G30" s="3"/>
      <c r="H30" s="3"/>
      <c r="I30" s="3"/>
      <c r="J30" s="3"/>
      <c r="K30" s="3"/>
      <c r="L30" s="253"/>
      <c r="M30" s="2"/>
      <c r="N30" s="256"/>
    </row>
    <row r="31" spans="1:14" ht="15">
      <c r="A31" s="2" t="s">
        <v>157</v>
      </c>
      <c r="B31" s="3"/>
      <c r="C31" s="3"/>
      <c r="D31" s="3"/>
      <c r="E31" s="3"/>
      <c r="F31" s="3">
        <v>1</v>
      </c>
      <c r="G31" s="3"/>
      <c r="H31" s="3"/>
      <c r="I31" s="3"/>
      <c r="J31" s="3"/>
      <c r="K31" s="3"/>
      <c r="L31" s="253"/>
      <c r="M31" s="2"/>
      <c r="N31" s="256"/>
    </row>
    <row r="32" spans="1:14" ht="15">
      <c r="A32" s="2" t="s">
        <v>158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253"/>
      <c r="M32" s="2"/>
      <c r="N32" s="256"/>
    </row>
    <row r="33" spans="1:14" ht="15">
      <c r="A33" s="2" t="s">
        <v>159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253"/>
      <c r="M33" s="2"/>
      <c r="N33" s="256"/>
    </row>
    <row r="34" spans="1:14" ht="15">
      <c r="A34" s="2" t="s">
        <v>160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253"/>
      <c r="M34" s="2"/>
      <c r="N34" s="256"/>
    </row>
    <row r="35" spans="1:14" ht="15">
      <c r="A35" s="2" t="s">
        <v>161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253"/>
      <c r="M35" s="2"/>
      <c r="N35" s="256"/>
    </row>
    <row r="36" spans="1:14" ht="15">
      <c r="A36" s="2" t="s">
        <v>162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253"/>
      <c r="M36" s="2"/>
      <c r="N36" s="256"/>
    </row>
    <row r="37" spans="1:14" ht="13.5" customHeight="1">
      <c r="A37" s="2" t="s">
        <v>163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253"/>
      <c r="M37" s="2"/>
      <c r="N37" s="256"/>
    </row>
    <row r="38" spans="1:14" ht="15" hidden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253"/>
      <c r="M38" s="2"/>
      <c r="N38" s="256"/>
    </row>
    <row r="39" spans="1:14" ht="13.5" customHeight="1">
      <c r="A39" s="2" t="s">
        <v>164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253"/>
      <c r="M39" s="2"/>
      <c r="N39" s="256"/>
    </row>
    <row r="40" spans="1:14" ht="14.25" customHeight="1">
      <c r="A40" s="2" t="s">
        <v>184</v>
      </c>
      <c r="B40" s="13"/>
      <c r="C40" s="13"/>
      <c r="D40" s="13"/>
      <c r="E40" s="13"/>
      <c r="F40" s="13"/>
      <c r="G40" s="13"/>
      <c r="H40" s="13"/>
      <c r="I40" s="13"/>
      <c r="J40" s="13"/>
      <c r="K40" s="3">
        <v>1</v>
      </c>
      <c r="L40" s="254">
        <v>1</v>
      </c>
      <c r="M40" s="3"/>
      <c r="N40" s="257"/>
    </row>
    <row r="41" spans="1:14" ht="15">
      <c r="A41" s="2"/>
      <c r="B41" s="3">
        <f aca="true" t="shared" si="0" ref="B41:L41">SUM(B7:B40)</f>
        <v>2</v>
      </c>
      <c r="C41" s="3">
        <f t="shared" si="0"/>
        <v>0.5</v>
      </c>
      <c r="D41" s="3">
        <f t="shared" si="0"/>
        <v>2</v>
      </c>
      <c r="E41" s="3">
        <f t="shared" si="0"/>
        <v>0</v>
      </c>
      <c r="F41" s="3">
        <f t="shared" si="0"/>
        <v>6</v>
      </c>
      <c r="G41" s="3">
        <f t="shared" si="0"/>
        <v>1.5</v>
      </c>
      <c r="H41" s="3">
        <f t="shared" si="0"/>
        <v>1</v>
      </c>
      <c r="I41" s="3">
        <f>SUM(I7:I40)</f>
        <v>1</v>
      </c>
      <c r="J41" s="3">
        <f>SUM(J7:J40)</f>
        <v>6.75</v>
      </c>
      <c r="K41" s="3">
        <f t="shared" si="0"/>
        <v>1</v>
      </c>
      <c r="L41" s="254">
        <f t="shared" si="0"/>
        <v>1</v>
      </c>
      <c r="M41" s="3">
        <v>1</v>
      </c>
      <c r="N41" s="258"/>
    </row>
    <row r="43" spans="1:6" ht="15" hidden="1">
      <c r="A43" s="1" t="s">
        <v>42</v>
      </c>
      <c r="F43" s="1" t="s">
        <v>87</v>
      </c>
    </row>
    <row r="44" ht="16.5" customHeight="1">
      <c r="A44" s="104"/>
    </row>
    <row r="45" spans="1:6" ht="12.75" customHeight="1">
      <c r="A45" s="104" t="s">
        <v>305</v>
      </c>
      <c r="F45" s="104"/>
    </row>
    <row r="46" spans="1:8" ht="12.75" customHeight="1">
      <c r="A46" s="1" t="s">
        <v>189</v>
      </c>
      <c r="F46" s="104" t="s">
        <v>332</v>
      </c>
      <c r="G46" s="104"/>
      <c r="H46" s="22"/>
    </row>
    <row r="47" spans="1:6" ht="15" hidden="1">
      <c r="A47" s="105" t="s">
        <v>165</v>
      </c>
      <c r="F47" s="1" t="s">
        <v>186</v>
      </c>
    </row>
  </sheetData>
  <printOptions/>
  <pageMargins left="0.32" right="0.56" top="0.57" bottom="0.65" header="0.31" footer="0.5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workbookViewId="0" topLeftCell="A1">
      <selection activeCell="AD25" sqref="AD25"/>
    </sheetView>
  </sheetViews>
  <sheetFormatPr defaultColWidth="9.00390625" defaultRowHeight="12.75"/>
  <cols>
    <col min="1" max="1" width="3.625" style="22" customWidth="1"/>
    <col min="2" max="2" width="61.375" style="22" customWidth="1"/>
    <col min="3" max="3" width="18.625" style="22" customWidth="1"/>
    <col min="4" max="4" width="0.2421875" style="22" hidden="1" customWidth="1"/>
    <col min="5" max="5" width="8.625" style="22" hidden="1" customWidth="1"/>
    <col min="6" max="6" width="8.00390625" style="22" hidden="1" customWidth="1"/>
    <col min="7" max="7" width="6.625" style="22" hidden="1" customWidth="1"/>
    <col min="8" max="8" width="6.75390625" style="22" hidden="1" customWidth="1"/>
    <col min="9" max="9" width="6.375" style="22" hidden="1" customWidth="1"/>
    <col min="10" max="10" width="1.75390625" style="22" hidden="1" customWidth="1"/>
    <col min="11" max="11" width="5.125" style="22" hidden="1" customWidth="1"/>
    <col min="12" max="12" width="4.75390625" style="22" hidden="1" customWidth="1"/>
    <col min="13" max="13" width="5.75390625" style="22" hidden="1" customWidth="1"/>
    <col min="14" max="14" width="5.25390625" style="22" hidden="1" customWidth="1"/>
    <col min="15" max="15" width="6.75390625" style="22" hidden="1" customWidth="1"/>
    <col min="16" max="16" width="5.25390625" style="22" hidden="1" customWidth="1"/>
    <col min="17" max="17" width="6.25390625" style="22" hidden="1" customWidth="1"/>
    <col min="18" max="18" width="7.25390625" style="22" hidden="1" customWidth="1"/>
    <col min="19" max="19" width="9.125" style="22" hidden="1" customWidth="1"/>
    <col min="20" max="20" width="9.375" style="22" hidden="1" customWidth="1"/>
    <col min="21" max="21" width="7.75390625" style="22" hidden="1" customWidth="1"/>
    <col min="22" max="22" width="9.25390625" style="22" hidden="1" customWidth="1"/>
    <col min="23" max="23" width="7.25390625" style="111" hidden="1" customWidth="1"/>
    <col min="24" max="24" width="8.375" style="111" hidden="1" customWidth="1"/>
    <col min="25" max="25" width="0.37109375" style="0" hidden="1" customWidth="1"/>
    <col min="26" max="26" width="0.12890625" style="0" hidden="1" customWidth="1"/>
    <col min="27" max="27" width="8.75390625" style="22" customWidth="1"/>
    <col min="28" max="16384" width="9.125" style="22" customWidth="1"/>
  </cols>
  <sheetData>
    <row r="1" spans="3:27" ht="18.75" customHeight="1">
      <c r="C1" s="1" t="s">
        <v>190</v>
      </c>
      <c r="D1"/>
      <c r="E1" s="1"/>
      <c r="AA1" s="105"/>
    </row>
    <row r="2" spans="3:27" ht="18.75" customHeight="1">
      <c r="C2" s="1" t="s">
        <v>293</v>
      </c>
      <c r="D2"/>
      <c r="E2" s="1"/>
      <c r="AA2" s="26"/>
    </row>
    <row r="3" spans="3:27" ht="18.75" customHeight="1">
      <c r="C3" s="1" t="s">
        <v>294</v>
      </c>
      <c r="D3"/>
      <c r="E3" s="1"/>
      <c r="AA3" s="26"/>
    </row>
    <row r="4" spans="2:18" ht="18" customHeight="1">
      <c r="B4" s="110" t="s">
        <v>199</v>
      </c>
      <c r="R4" s="105" t="s">
        <v>200</v>
      </c>
    </row>
    <row r="5" spans="15:20" ht="10.5" customHeight="1">
      <c r="O5" s="22" t="s">
        <v>201</v>
      </c>
      <c r="S5" s="22">
        <f>C61</f>
        <v>119.43</v>
      </c>
      <c r="T5" s="22" t="s">
        <v>202</v>
      </c>
    </row>
    <row r="6" spans="2:15" ht="12.75" customHeight="1" thickBot="1">
      <c r="B6" s="112" t="s">
        <v>77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22" t="s">
        <v>203</v>
      </c>
    </row>
    <row r="7" spans="2:20" ht="12.75">
      <c r="B7" s="114" t="s">
        <v>204</v>
      </c>
      <c r="O7" s="22" t="s">
        <v>205</v>
      </c>
      <c r="S7" s="115" t="e">
        <f>X61</f>
        <v>#REF!</v>
      </c>
      <c r="T7" s="22" t="s">
        <v>206</v>
      </c>
    </row>
    <row r="8" spans="15:21" ht="12.75">
      <c r="O8" s="22" t="s">
        <v>207</v>
      </c>
      <c r="S8" s="22" t="s">
        <v>186</v>
      </c>
      <c r="U8" s="115"/>
    </row>
    <row r="9" ht="12.75">
      <c r="U9" s="115"/>
    </row>
    <row r="10" spans="10:21" ht="10.5" customHeight="1">
      <c r="J10" s="115"/>
      <c r="R10" s="114" t="s">
        <v>208</v>
      </c>
      <c r="U10" s="115"/>
    </row>
    <row r="11" spans="15:21" ht="12.75">
      <c r="O11" s="22" t="s">
        <v>207</v>
      </c>
      <c r="Q11" s="116"/>
      <c r="S11" s="117">
        <v>38534</v>
      </c>
      <c r="U11" s="115"/>
    </row>
    <row r="12" ht="10.5" customHeight="1">
      <c r="R12" s="114" t="s">
        <v>209</v>
      </c>
    </row>
    <row r="13" spans="6:21" ht="2.25" customHeight="1" thickBot="1">
      <c r="F13" s="118"/>
      <c r="U13" s="114"/>
    </row>
    <row r="14" spans="1:26" ht="10.5" customHeight="1">
      <c r="A14" s="119" t="s">
        <v>210</v>
      </c>
      <c r="B14" s="120" t="s">
        <v>287</v>
      </c>
      <c r="C14" s="121" t="s">
        <v>288</v>
      </c>
      <c r="D14" s="121" t="s">
        <v>211</v>
      </c>
      <c r="E14" s="122"/>
      <c r="F14" s="123"/>
      <c r="G14" s="122" t="s">
        <v>212</v>
      </c>
      <c r="H14" s="122"/>
      <c r="I14" s="122"/>
      <c r="J14" s="122"/>
      <c r="K14" s="122"/>
      <c r="L14" s="122"/>
      <c r="M14" s="124"/>
      <c r="N14" s="123" t="s">
        <v>213</v>
      </c>
      <c r="O14" s="123"/>
      <c r="P14" s="123"/>
      <c r="Q14" s="123"/>
      <c r="R14" s="125"/>
      <c r="S14" s="126" t="s">
        <v>214</v>
      </c>
      <c r="T14" s="127" t="s">
        <v>214</v>
      </c>
      <c r="U14" s="128" t="s">
        <v>215</v>
      </c>
      <c r="V14" s="129" t="s">
        <v>215</v>
      </c>
      <c r="W14" s="130" t="s">
        <v>216</v>
      </c>
      <c r="X14" s="130" t="s">
        <v>41</v>
      </c>
      <c r="Z14" s="131"/>
    </row>
    <row r="15" spans="1:26" ht="9.75" customHeight="1">
      <c r="A15" s="132" t="s">
        <v>217</v>
      </c>
      <c r="B15" s="23"/>
      <c r="C15" s="133"/>
      <c r="D15" s="133" t="s">
        <v>218</v>
      </c>
      <c r="E15" s="133" t="s">
        <v>219</v>
      </c>
      <c r="F15" s="133" t="s">
        <v>220</v>
      </c>
      <c r="G15" s="133" t="s">
        <v>221</v>
      </c>
      <c r="H15" s="133" t="s">
        <v>222</v>
      </c>
      <c r="I15" s="133" t="s">
        <v>223</v>
      </c>
      <c r="J15" s="133" t="s">
        <v>224</v>
      </c>
      <c r="K15" s="133"/>
      <c r="L15" s="133" t="s">
        <v>225</v>
      </c>
      <c r="M15" s="134" t="s">
        <v>226</v>
      </c>
      <c r="N15" s="134" t="s">
        <v>227</v>
      </c>
      <c r="O15" s="130" t="s">
        <v>228</v>
      </c>
      <c r="P15" s="135" t="s">
        <v>229</v>
      </c>
      <c r="Q15" s="135" t="s">
        <v>229</v>
      </c>
      <c r="R15" s="136" t="s">
        <v>230</v>
      </c>
      <c r="S15" s="137" t="s">
        <v>231</v>
      </c>
      <c r="T15" s="138" t="s">
        <v>231</v>
      </c>
      <c r="U15" s="139" t="s">
        <v>232</v>
      </c>
      <c r="V15" s="140" t="s">
        <v>232</v>
      </c>
      <c r="W15" s="135" t="s">
        <v>233</v>
      </c>
      <c r="X15" s="135" t="s">
        <v>234</v>
      </c>
      <c r="Y15" s="131" t="s">
        <v>235</v>
      </c>
      <c r="Z15" s="131" t="s">
        <v>236</v>
      </c>
    </row>
    <row r="16" spans="1:26" ht="9" customHeight="1" thickBot="1">
      <c r="A16" s="141"/>
      <c r="B16" s="113"/>
      <c r="C16" s="142"/>
      <c r="D16" s="142"/>
      <c r="E16" s="142" t="s">
        <v>237</v>
      </c>
      <c r="F16" s="142"/>
      <c r="G16" s="142"/>
      <c r="H16" s="142"/>
      <c r="I16" s="142" t="s">
        <v>238</v>
      </c>
      <c r="J16" s="142" t="s">
        <v>239</v>
      </c>
      <c r="K16" s="142" t="s">
        <v>240</v>
      </c>
      <c r="L16" s="142"/>
      <c r="M16" s="142"/>
      <c r="N16" s="142"/>
      <c r="O16" s="143" t="s">
        <v>241</v>
      </c>
      <c r="P16" s="144" t="s">
        <v>242</v>
      </c>
      <c r="Q16" s="144" t="s">
        <v>243</v>
      </c>
      <c r="R16" s="145"/>
      <c r="S16" s="146" t="s">
        <v>244</v>
      </c>
      <c r="T16" s="147" t="s">
        <v>245</v>
      </c>
      <c r="U16" s="148" t="s">
        <v>246</v>
      </c>
      <c r="V16" s="149" t="s">
        <v>247</v>
      </c>
      <c r="W16" s="150" t="s">
        <v>248</v>
      </c>
      <c r="X16" s="150" t="s">
        <v>249</v>
      </c>
      <c r="Y16" s="131" t="s">
        <v>250</v>
      </c>
      <c r="Z16" s="131" t="s">
        <v>251</v>
      </c>
    </row>
    <row r="17" spans="1:24" ht="11.25" customHeight="1" thickBot="1">
      <c r="A17" s="151"/>
      <c r="B17" s="152" t="s">
        <v>252</v>
      </c>
      <c r="W17" s="153"/>
      <c r="X17" s="153"/>
    </row>
    <row r="18" spans="1:26" ht="11.25" customHeight="1">
      <c r="A18" s="154">
        <v>1</v>
      </c>
      <c r="B18" s="13" t="s">
        <v>253</v>
      </c>
      <c r="C18" s="183">
        <v>1</v>
      </c>
      <c r="D18" s="155" t="e">
        <f>'[1]НВК 2'!M8</f>
        <v>#REF!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 t="e">
        <f aca="true" t="shared" si="0" ref="S18:S28">SUM(E18:R18)+C18*D18</f>
        <v>#REF!</v>
      </c>
      <c r="T18" s="155" t="e">
        <f aca="true" t="shared" si="1" ref="T18:T28">S18*12</f>
        <v>#REF!</v>
      </c>
      <c r="U18" s="155">
        <f>'[1]НВК 2'!BT8</f>
        <v>0</v>
      </c>
      <c r="V18" s="156">
        <f aca="true" t="shared" si="2" ref="V18:V28">U18*12</f>
        <v>0</v>
      </c>
      <c r="W18" s="157"/>
      <c r="X18" s="157" t="e">
        <f>S18+U18+W18</f>
        <v>#REF!</v>
      </c>
      <c r="Y18" t="e">
        <f>D18*C18</f>
        <v>#REF!</v>
      </c>
      <c r="Z18" t="e">
        <f>Y18/2</f>
        <v>#REF!</v>
      </c>
    </row>
    <row r="19" spans="1:26" ht="11.25" customHeight="1">
      <c r="A19" s="154">
        <v>2</v>
      </c>
      <c r="B19" s="158" t="s">
        <v>254</v>
      </c>
      <c r="C19" s="43">
        <v>3</v>
      </c>
      <c r="D19" s="159" t="e">
        <f>D18*0.9</f>
        <v>#REF!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 t="e">
        <f t="shared" si="0"/>
        <v>#REF!</v>
      </c>
      <c r="T19" s="159" t="e">
        <f t="shared" si="1"/>
        <v>#REF!</v>
      </c>
      <c r="U19" s="159" t="e">
        <f>'[1]НВК 2'!BT10+'[1]НВК 2'!BT12+'[1]НВК 2'!BT14+'[1]НВК 2'!#REF!+'[1]НВК 2'!BT16</f>
        <v>#REF!</v>
      </c>
      <c r="V19" s="160" t="e">
        <f t="shared" si="2"/>
        <v>#REF!</v>
      </c>
      <c r="W19" s="157"/>
      <c r="X19" s="157" t="e">
        <f aca="true" t="shared" si="3" ref="X19:X24">S19+U19+W19</f>
        <v>#REF!</v>
      </c>
      <c r="Y19" t="e">
        <f aca="true" t="shared" si="4" ref="Y19:Y28">D19*C19</f>
        <v>#REF!</v>
      </c>
      <c r="Z19" t="e">
        <f aca="true" t="shared" si="5" ref="Z19:Z58">Y19/2</f>
        <v>#REF!</v>
      </c>
    </row>
    <row r="20" spans="1:26" ht="11.25" customHeight="1">
      <c r="A20" s="154">
        <v>3</v>
      </c>
      <c r="B20" s="13" t="s">
        <v>255</v>
      </c>
      <c r="C20" s="43">
        <v>1.5</v>
      </c>
      <c r="D20" s="159" t="e">
        <f>('[1]НВК 2'!M19*'[1]НВК 2'!BH19+'[1]НВК 2'!BH20*'[1]НВК 2'!M20)/'[1]ш2'!C16</f>
        <v>#REF!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 t="e">
        <f t="shared" si="0"/>
        <v>#REF!</v>
      </c>
      <c r="T20" s="159" t="e">
        <f t="shared" si="1"/>
        <v>#REF!</v>
      </c>
      <c r="U20" s="159">
        <f>'[1]НВК 2'!BT19+'[1]НВК 2'!BT20</f>
        <v>18</v>
      </c>
      <c r="V20" s="160">
        <f t="shared" si="2"/>
        <v>216</v>
      </c>
      <c r="W20" s="157"/>
      <c r="X20" s="157" t="e">
        <f t="shared" si="3"/>
        <v>#REF!</v>
      </c>
      <c r="Y20" t="e">
        <f t="shared" si="4"/>
        <v>#REF!</v>
      </c>
      <c r="Z20" t="e">
        <f t="shared" si="5"/>
        <v>#REF!</v>
      </c>
    </row>
    <row r="21" spans="1:26" ht="11.25" customHeight="1">
      <c r="A21" s="154">
        <v>4</v>
      </c>
      <c r="B21" s="13" t="s">
        <v>256</v>
      </c>
      <c r="C21" s="43">
        <v>1</v>
      </c>
      <c r="D21" s="159" t="e">
        <f>('[1]НВК 2'!M22*'[1]НВК 2'!BH22+'[1]НВК 2'!BH24*'[1]НВК 2'!M24)/'[1]ш2'!C17</f>
        <v>#REF!</v>
      </c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 t="e">
        <f t="shared" si="0"/>
        <v>#REF!</v>
      </c>
      <c r="T21" s="159" t="e">
        <f t="shared" si="1"/>
        <v>#REF!</v>
      </c>
      <c r="U21" s="159">
        <f>'[1]НВК 2'!BT22+'[1]НВК 2'!BT24</f>
        <v>41.5</v>
      </c>
      <c r="V21" s="160">
        <f t="shared" si="2"/>
        <v>498</v>
      </c>
      <c r="W21" s="157"/>
      <c r="X21" s="157" t="e">
        <f t="shared" si="3"/>
        <v>#REF!</v>
      </c>
      <c r="Y21" t="e">
        <f t="shared" si="4"/>
        <v>#REF!</v>
      </c>
      <c r="Z21" t="e">
        <f t="shared" si="5"/>
        <v>#REF!</v>
      </c>
    </row>
    <row r="22" spans="1:26" ht="11.25" customHeight="1">
      <c r="A22" s="154">
        <v>5</v>
      </c>
      <c r="B22" s="13" t="s">
        <v>257</v>
      </c>
      <c r="C22" s="43">
        <v>1</v>
      </c>
      <c r="D22" s="159" t="e">
        <f>'[1]НВК 2'!M26</f>
        <v>#REF!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 t="e">
        <f t="shared" si="0"/>
        <v>#REF!</v>
      </c>
      <c r="T22" s="159" t="e">
        <f t="shared" si="1"/>
        <v>#REF!</v>
      </c>
      <c r="U22" s="159">
        <f>'[1]НВК 2'!BT26</f>
        <v>0</v>
      </c>
      <c r="V22" s="160">
        <f t="shared" si="2"/>
        <v>0</v>
      </c>
      <c r="W22" s="157"/>
      <c r="X22" s="157" t="e">
        <f t="shared" si="3"/>
        <v>#REF!</v>
      </c>
      <c r="Y22" t="e">
        <f t="shared" si="4"/>
        <v>#REF!</v>
      </c>
      <c r="Z22" t="e">
        <f t="shared" si="5"/>
        <v>#REF!</v>
      </c>
    </row>
    <row r="23" spans="1:26" ht="11.25" customHeight="1">
      <c r="A23" s="154">
        <v>6</v>
      </c>
      <c r="B23" s="13" t="s">
        <v>258</v>
      </c>
      <c r="C23" s="43">
        <v>1</v>
      </c>
      <c r="D23" s="159" t="e">
        <f>('[1]НВК 2'!M18*'[1]НВК 2'!BH18+'[1]НВК 2'!BH21*'[1]НВК 2'!M21+'[1]НВК 2'!M28*'[1]НВК 2'!BH28+'[1]НВК 2'!BH29*'[1]НВК 2'!M29)/'[1]ш2'!C19</f>
        <v>#REF!</v>
      </c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 t="e">
        <f t="shared" si="0"/>
        <v>#REF!</v>
      </c>
      <c r="T23" s="159" t="e">
        <f t="shared" si="1"/>
        <v>#REF!</v>
      </c>
      <c r="U23" s="161">
        <f>'[1]НВК 2'!BT18+'[1]НВК 2'!BT21+'[1]НВК 2'!BT28+'[1]НВК 2'!BT29</f>
        <v>24.166666666666664</v>
      </c>
      <c r="V23" s="160">
        <f t="shared" si="2"/>
        <v>290</v>
      </c>
      <c r="X23" s="157" t="e">
        <f t="shared" si="3"/>
        <v>#REF!</v>
      </c>
      <c r="Y23" t="e">
        <f t="shared" si="4"/>
        <v>#REF!</v>
      </c>
      <c r="Z23" t="e">
        <f t="shared" si="5"/>
        <v>#REF!</v>
      </c>
    </row>
    <row r="24" spans="1:26" ht="11.25" customHeight="1">
      <c r="A24" s="154">
        <v>7</v>
      </c>
      <c r="B24" s="13" t="s">
        <v>259</v>
      </c>
      <c r="C24" s="43">
        <v>1.5</v>
      </c>
      <c r="D24" s="159">
        <f>'[1]НВК 2'!BB131/'[1]ш2'!C20</f>
        <v>18</v>
      </c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>
        <f t="shared" si="0"/>
        <v>27</v>
      </c>
      <c r="T24" s="159">
        <f t="shared" si="1"/>
        <v>324</v>
      </c>
      <c r="U24" s="161">
        <f>'[1]НВК 2'!BU131</f>
        <v>1243.4250000000002</v>
      </c>
      <c r="V24" s="160">
        <f t="shared" si="2"/>
        <v>14921.100000000002</v>
      </c>
      <c r="W24" s="157"/>
      <c r="X24" s="157">
        <f t="shared" si="3"/>
        <v>1270.4250000000002</v>
      </c>
      <c r="Y24">
        <f t="shared" si="4"/>
        <v>27</v>
      </c>
      <c r="Z24">
        <f t="shared" si="5"/>
        <v>13.5</v>
      </c>
    </row>
    <row r="25" spans="1:26" ht="11.25" customHeight="1">
      <c r="A25" s="162">
        <v>8</v>
      </c>
      <c r="B25" s="159" t="s">
        <v>260</v>
      </c>
      <c r="C25" s="43">
        <v>0.5</v>
      </c>
      <c r="D25" s="159" t="e">
        <f>'[1]вихНВК2'!K6</f>
        <v>#REF!</v>
      </c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 t="e">
        <f t="shared" si="0"/>
        <v>#REF!</v>
      </c>
      <c r="T25" s="159" t="e">
        <f t="shared" si="1"/>
        <v>#REF!</v>
      </c>
      <c r="U25" s="161" t="e">
        <f>'[1]вихНВК2'!AC6</f>
        <v>#REF!</v>
      </c>
      <c r="V25" s="160" t="e">
        <f t="shared" si="2"/>
        <v>#REF!</v>
      </c>
      <c r="W25" s="157"/>
      <c r="X25" s="157" t="e">
        <f>S25+U25+W25</f>
        <v>#REF!</v>
      </c>
      <c r="Y25" t="e">
        <f t="shared" si="4"/>
        <v>#REF!</v>
      </c>
      <c r="Z25" t="e">
        <f t="shared" si="5"/>
        <v>#REF!</v>
      </c>
    </row>
    <row r="26" spans="1:26" ht="11.25" customHeight="1">
      <c r="A26" s="162">
        <v>9</v>
      </c>
      <c r="B26" s="159" t="s">
        <v>261</v>
      </c>
      <c r="C26" s="43">
        <v>1.5</v>
      </c>
      <c r="D26" s="159">
        <f>'[1]вихНВК2'!Q34/'[1]ш2'!C22</f>
        <v>2950.2000000000003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>
        <f>SUM(E26:R26)+C26*D26</f>
        <v>4425.3</v>
      </c>
      <c r="T26" s="159">
        <f>S26*12</f>
        <v>53103.600000000006</v>
      </c>
      <c r="U26" s="159">
        <f>'[1]вихНВК2'!AA34</f>
        <v>1090.83</v>
      </c>
      <c r="V26" s="160">
        <f>U26*12</f>
        <v>13089.96</v>
      </c>
      <c r="W26" s="157"/>
      <c r="X26" s="157">
        <f>S26+U26+W26</f>
        <v>5516.13</v>
      </c>
      <c r="Y26">
        <f t="shared" si="4"/>
        <v>4425.3</v>
      </c>
      <c r="Z26">
        <f t="shared" si="5"/>
        <v>2212.65</v>
      </c>
    </row>
    <row r="27" spans="1:26" ht="11.25" customHeight="1" hidden="1">
      <c r="A27" s="162"/>
      <c r="B27" s="159"/>
      <c r="C27" s="43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60"/>
      <c r="W27" s="157"/>
      <c r="X27" s="157"/>
      <c r="Y27">
        <f t="shared" si="4"/>
        <v>0</v>
      </c>
      <c r="Z27">
        <f t="shared" si="5"/>
        <v>0</v>
      </c>
    </row>
    <row r="28" spans="1:26" ht="11.25" customHeight="1" hidden="1">
      <c r="A28" s="162">
        <v>10</v>
      </c>
      <c r="B28" s="159" t="s">
        <v>185</v>
      </c>
      <c r="C28" s="43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>
        <f t="shared" si="0"/>
        <v>0</v>
      </c>
      <c r="T28" s="159">
        <f t="shared" si="1"/>
        <v>0</v>
      </c>
      <c r="U28" s="159"/>
      <c r="V28" s="160">
        <f t="shared" si="2"/>
        <v>0</v>
      </c>
      <c r="W28" s="157">
        <f>57*C28-(S28-O28)</f>
        <v>0</v>
      </c>
      <c r="X28" s="157">
        <f>S28+U28+W28</f>
        <v>0</v>
      </c>
      <c r="Y28">
        <f t="shared" si="4"/>
        <v>0</v>
      </c>
      <c r="Z28">
        <f t="shared" si="5"/>
        <v>0</v>
      </c>
    </row>
    <row r="29" spans="1:26" ht="11.25" customHeight="1">
      <c r="A29" s="23"/>
      <c r="B29" s="23" t="s">
        <v>86</v>
      </c>
      <c r="C29" s="44">
        <f>SUM(C18:C28)</f>
        <v>12</v>
      </c>
      <c r="D29" s="163" t="e">
        <f>(S29-R29-Q29-O29-N29-M29-L29-K29-J29-I29-H29-G29-F29-E29)/C29</f>
        <v>#REF!</v>
      </c>
      <c r="E29" s="44">
        <f>SUM(E18:E28)</f>
        <v>0</v>
      </c>
      <c r="F29" s="44">
        <f aca="true" t="shared" si="6" ref="F29:Z29">SUM(F18:F28)</f>
        <v>0</v>
      </c>
      <c r="G29" s="44">
        <f t="shared" si="6"/>
        <v>0</v>
      </c>
      <c r="H29" s="44">
        <f t="shared" si="6"/>
        <v>0</v>
      </c>
      <c r="I29" s="44">
        <f t="shared" si="6"/>
        <v>0</v>
      </c>
      <c r="J29" s="44">
        <f t="shared" si="6"/>
        <v>0</v>
      </c>
      <c r="K29" s="44">
        <f t="shared" si="6"/>
        <v>0</v>
      </c>
      <c r="L29" s="44">
        <f t="shared" si="6"/>
        <v>0</v>
      </c>
      <c r="M29" s="44">
        <f t="shared" si="6"/>
        <v>0</v>
      </c>
      <c r="N29" s="44">
        <f t="shared" si="6"/>
        <v>0</v>
      </c>
      <c r="O29" s="44">
        <f t="shared" si="6"/>
        <v>0</v>
      </c>
      <c r="P29" s="44"/>
      <c r="Q29" s="44">
        <f t="shared" si="6"/>
        <v>0</v>
      </c>
      <c r="R29" s="44">
        <f t="shared" si="6"/>
        <v>0</v>
      </c>
      <c r="S29" s="44" t="e">
        <f t="shared" si="6"/>
        <v>#REF!</v>
      </c>
      <c r="T29" s="44" t="e">
        <f t="shared" si="6"/>
        <v>#REF!</v>
      </c>
      <c r="U29" s="164" t="e">
        <f t="shared" si="6"/>
        <v>#REF!</v>
      </c>
      <c r="V29" s="44" t="e">
        <f t="shared" si="6"/>
        <v>#REF!</v>
      </c>
      <c r="W29" s="165">
        <f t="shared" si="6"/>
        <v>0</v>
      </c>
      <c r="X29" s="165" t="e">
        <f t="shared" si="6"/>
        <v>#REF!</v>
      </c>
      <c r="Y29" s="44" t="e">
        <f t="shared" si="6"/>
        <v>#REF!</v>
      </c>
      <c r="Z29" s="44" t="e">
        <f t="shared" si="6"/>
        <v>#REF!</v>
      </c>
    </row>
    <row r="30" spans="1:26" ht="11.25" customHeight="1">
      <c r="A30" s="23"/>
      <c r="B30" s="45" t="s">
        <v>262</v>
      </c>
      <c r="C30" s="44"/>
      <c r="D30" s="166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S30" s="167"/>
      <c r="W30" s="103"/>
      <c r="X30" s="103"/>
      <c r="Y30" s="22"/>
      <c r="Z30">
        <f t="shared" si="5"/>
        <v>0</v>
      </c>
    </row>
    <row r="31" spans="1:26" ht="11.25" customHeight="1">
      <c r="A31" s="154">
        <v>10</v>
      </c>
      <c r="B31" s="153" t="s">
        <v>262</v>
      </c>
      <c r="C31" s="184">
        <v>53.67</v>
      </c>
      <c r="D31" s="159">
        <f>('[1]НВК 2'!Q131+'[1]НВК 2'!R131+'[1]НВК 2'!S131)/'[1]ш2'!C27</f>
        <v>438.0083105110898</v>
      </c>
      <c r="E31" s="159">
        <f>'[1]НВК 2'!U131+'[1]НВК 2'!Y131+'[1]НВК 2'!Z131+'[1]НВК 2'!AE131+'[1]НВК 2'!AF131+'[1]НВК 2'!AG131+'[1]НВК 2'!AA131</f>
        <v>1639.052777777778</v>
      </c>
      <c r="F31" s="161">
        <f>'[1]НВК 2'!AJ131+'[1]НВК 2'!AL131</f>
        <v>28</v>
      </c>
      <c r="G31" s="161">
        <f>'[1]НВК 2'!AQ131</f>
        <v>1</v>
      </c>
      <c r="H31" s="159">
        <f>'[1]НВК 2'!AX131</f>
        <v>0</v>
      </c>
      <c r="I31" s="159">
        <f>'[1]НВК 2'!BG131</f>
        <v>0</v>
      </c>
      <c r="J31" s="159">
        <f>'[1]НВК 2'!AY131</f>
        <v>74.7</v>
      </c>
      <c r="K31" s="159">
        <f>'[1]НВК 2'!AZ131</f>
        <v>0</v>
      </c>
      <c r="L31" s="159"/>
      <c r="M31" s="159"/>
      <c r="N31" s="159"/>
      <c r="O31" s="159"/>
      <c r="P31" s="159"/>
      <c r="Q31" s="159">
        <f>'[1]НВК 2'!BP131</f>
        <v>0</v>
      </c>
      <c r="R31" s="159"/>
      <c r="S31" s="161">
        <f>SUM(E31:R31)+C31*D31+L31</f>
        <v>25250.65880290797</v>
      </c>
      <c r="T31" s="159">
        <f>S31*12</f>
        <v>303007.9056348956</v>
      </c>
      <c r="U31" s="159">
        <f>'[1]НВК 2'!BS131</f>
        <v>7683.1176000000005</v>
      </c>
      <c r="V31" s="160">
        <f>U31*12</f>
        <v>92197.4112</v>
      </c>
      <c r="W31" s="157"/>
      <c r="X31" s="157">
        <f>S31+U31+W31</f>
        <v>32933.77640290797</v>
      </c>
      <c r="Y31">
        <f>D31*C31</f>
        <v>23507.90602513019</v>
      </c>
      <c r="Z31">
        <f t="shared" si="5"/>
        <v>11753.953012565094</v>
      </c>
    </row>
    <row r="32" spans="1:26" ht="11.25" customHeight="1">
      <c r="A32" s="162">
        <v>11</v>
      </c>
      <c r="B32" s="159" t="s">
        <v>263</v>
      </c>
      <c r="C32" s="43">
        <v>10.26</v>
      </c>
      <c r="D32" s="159">
        <f>'[1]вихНВК2'!P34/'[1]ш2'!C28</f>
        <v>0</v>
      </c>
      <c r="E32" s="159"/>
      <c r="F32" s="168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61">
        <f>SUM(E32:R32)+C32*D32</f>
        <v>0</v>
      </c>
      <c r="T32" s="159">
        <f>S32*12</f>
        <v>0</v>
      </c>
      <c r="U32" s="161">
        <f>'[1]вихНВК2'!Z34</f>
        <v>1336.8</v>
      </c>
      <c r="V32" s="160">
        <f>U32*12</f>
        <v>16041.599999999999</v>
      </c>
      <c r="W32" s="157"/>
      <c r="X32" s="157">
        <f>S32+U32+W32</f>
        <v>1336.8</v>
      </c>
      <c r="Y32">
        <f>D32*C32</f>
        <v>0</v>
      </c>
      <c r="Z32">
        <f t="shared" si="5"/>
        <v>0</v>
      </c>
    </row>
    <row r="33" spans="1:24" ht="11.25" customHeight="1">
      <c r="A33" s="162">
        <v>12</v>
      </c>
      <c r="B33" s="159" t="s">
        <v>320</v>
      </c>
      <c r="C33" s="43">
        <v>1</v>
      </c>
      <c r="D33" s="159"/>
      <c r="E33" s="159"/>
      <c r="F33" s="168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61"/>
      <c r="T33" s="159"/>
      <c r="U33" s="161"/>
      <c r="V33" s="271"/>
      <c r="W33" s="157"/>
      <c r="X33" s="157"/>
    </row>
    <row r="34" spans="1:26" ht="11.25" customHeight="1">
      <c r="A34" s="162"/>
      <c r="B34" s="159" t="s">
        <v>86</v>
      </c>
      <c r="C34" s="166">
        <f>SUM(C31:C33)</f>
        <v>64.93</v>
      </c>
      <c r="D34" s="163">
        <f>(S34-R34-Q34-O34-N34-M34-L34-K34-J34-I34-H34-G34-F34-E34)/C34</f>
        <v>362.0499926864344</v>
      </c>
      <c r="E34" s="161">
        <f aca="true" t="shared" si="7" ref="E34:X34">SUM(E31:E32)</f>
        <v>1639.052777777778</v>
      </c>
      <c r="F34" s="161">
        <f t="shared" si="7"/>
        <v>28</v>
      </c>
      <c r="G34" s="161">
        <f t="shared" si="7"/>
        <v>1</v>
      </c>
      <c r="H34" s="161">
        <f t="shared" si="7"/>
        <v>0</v>
      </c>
      <c r="I34" s="161">
        <f t="shared" si="7"/>
        <v>0</v>
      </c>
      <c r="J34" s="161">
        <f t="shared" si="7"/>
        <v>74.7</v>
      </c>
      <c r="K34" s="161">
        <f t="shared" si="7"/>
        <v>0</v>
      </c>
      <c r="L34" s="161">
        <f t="shared" si="7"/>
        <v>0</v>
      </c>
      <c r="M34" s="161">
        <f t="shared" si="7"/>
        <v>0</v>
      </c>
      <c r="N34" s="161">
        <f t="shared" si="7"/>
        <v>0</v>
      </c>
      <c r="O34" s="161">
        <f t="shared" si="7"/>
        <v>0</v>
      </c>
      <c r="P34" s="161">
        <f t="shared" si="7"/>
        <v>0</v>
      </c>
      <c r="Q34" s="161">
        <f t="shared" si="7"/>
        <v>0</v>
      </c>
      <c r="R34" s="161">
        <f t="shared" si="7"/>
        <v>0</v>
      </c>
      <c r="S34" s="161">
        <f t="shared" si="7"/>
        <v>25250.65880290797</v>
      </c>
      <c r="T34" s="161">
        <f t="shared" si="7"/>
        <v>303007.9056348956</v>
      </c>
      <c r="U34" s="161">
        <f t="shared" si="7"/>
        <v>9019.9176</v>
      </c>
      <c r="V34" s="161">
        <f t="shared" si="7"/>
        <v>108239.01120000001</v>
      </c>
      <c r="W34" s="169">
        <f t="shared" si="7"/>
        <v>0</v>
      </c>
      <c r="X34" s="169">
        <f t="shared" si="7"/>
        <v>34270.57640290797</v>
      </c>
      <c r="Y34" s="169">
        <f>SUM(Y31:Y32)</f>
        <v>23507.90602513019</v>
      </c>
      <c r="Z34" s="169">
        <f>SUM(Z31:Z32)</f>
        <v>11753.953012565094</v>
      </c>
    </row>
    <row r="35" spans="1:26" ht="11.25" customHeight="1">
      <c r="A35" s="162"/>
      <c r="B35" s="152" t="s">
        <v>264</v>
      </c>
      <c r="C35" s="166"/>
      <c r="D35" s="166"/>
      <c r="E35" s="161"/>
      <c r="F35" s="161"/>
      <c r="G35" s="161"/>
      <c r="H35" s="161"/>
      <c r="I35" s="161"/>
      <c r="J35" s="161"/>
      <c r="K35" s="161"/>
      <c r="L35" s="161"/>
      <c r="M35" s="170"/>
      <c r="N35" s="161"/>
      <c r="O35" s="161"/>
      <c r="P35" s="171"/>
      <c r="S35" s="167"/>
      <c r="W35" s="103"/>
      <c r="X35" s="103"/>
      <c r="Y35" s="22"/>
      <c r="Z35">
        <f t="shared" si="5"/>
        <v>0</v>
      </c>
    </row>
    <row r="36" spans="1:26" ht="11.25" customHeight="1">
      <c r="A36" s="154">
        <v>13</v>
      </c>
      <c r="B36" s="13" t="s">
        <v>265</v>
      </c>
      <c r="C36" s="43">
        <v>1</v>
      </c>
      <c r="D36" s="159" t="e">
        <f>'[1]НВК 2'!M32</f>
        <v>#REF!</v>
      </c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>
        <f>'[1]НВК 2'!BM32</f>
        <v>1</v>
      </c>
      <c r="Q36" s="159"/>
      <c r="R36" s="159"/>
      <c r="S36" s="159" t="e">
        <f aca="true" t="shared" si="8" ref="S36:S43">SUM(E36:R36)+C36*D36</f>
        <v>#REF!</v>
      </c>
      <c r="T36" s="159" t="e">
        <f aca="true" t="shared" si="9" ref="T36:T43">S36*12</f>
        <v>#REF!</v>
      </c>
      <c r="U36" s="159">
        <f>'[1]НВК 2'!BT32</f>
        <v>0</v>
      </c>
      <c r="V36" s="160">
        <f aca="true" t="shared" si="10" ref="V36:V43">U36*12</f>
        <v>0</v>
      </c>
      <c r="W36" s="157"/>
      <c r="X36" s="157" t="e">
        <f>S36+U36+W36</f>
        <v>#REF!</v>
      </c>
      <c r="Z36">
        <f t="shared" si="5"/>
        <v>0</v>
      </c>
    </row>
    <row r="37" spans="1:26" ht="11.25" customHeight="1">
      <c r="A37" s="154">
        <v>14</v>
      </c>
      <c r="B37" s="13" t="s">
        <v>266</v>
      </c>
      <c r="C37" s="43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>
        <f t="shared" si="8"/>
        <v>0</v>
      </c>
      <c r="T37" s="159">
        <f t="shared" si="9"/>
        <v>0</v>
      </c>
      <c r="U37" s="159"/>
      <c r="V37" s="160">
        <f t="shared" si="10"/>
        <v>0</v>
      </c>
      <c r="W37" s="157"/>
      <c r="X37" s="157">
        <f aca="true" t="shared" si="11" ref="X37:X43">S37+U37+W37</f>
        <v>0</v>
      </c>
      <c r="Z37">
        <f t="shared" si="5"/>
        <v>0</v>
      </c>
    </row>
    <row r="38" spans="1:26" ht="11.25" customHeight="1">
      <c r="A38" s="154">
        <v>15</v>
      </c>
      <c r="B38" s="13" t="s">
        <v>267</v>
      </c>
      <c r="C38" s="43">
        <v>1</v>
      </c>
      <c r="D38" s="159" t="e">
        <f>D18*0.9</f>
        <v>#REF!</v>
      </c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 t="e">
        <f t="shared" si="8"/>
        <v>#REF!</v>
      </c>
      <c r="T38" s="159" t="e">
        <f t="shared" si="9"/>
        <v>#REF!</v>
      </c>
      <c r="U38" s="159"/>
      <c r="V38" s="160">
        <f t="shared" si="10"/>
        <v>0</v>
      </c>
      <c r="W38" s="157"/>
      <c r="X38" s="157" t="e">
        <f t="shared" si="11"/>
        <v>#REF!</v>
      </c>
      <c r="Z38">
        <f t="shared" si="5"/>
        <v>0</v>
      </c>
    </row>
    <row r="39" spans="1:26" ht="11.25" customHeight="1">
      <c r="A39" s="154">
        <v>16</v>
      </c>
      <c r="B39" s="13" t="s">
        <v>289</v>
      </c>
      <c r="C39" s="43">
        <v>1</v>
      </c>
      <c r="D39" s="159"/>
      <c r="E39" s="159"/>
      <c r="F39" s="159"/>
      <c r="G39" s="159"/>
      <c r="H39" s="159"/>
      <c r="I39" s="159"/>
      <c r="J39" s="159"/>
      <c r="K39" s="159"/>
      <c r="L39" s="159"/>
      <c r="M39" s="159">
        <f>C39*D39*0.1</f>
        <v>0</v>
      </c>
      <c r="N39" s="159"/>
      <c r="O39" s="159"/>
      <c r="P39" s="159"/>
      <c r="Q39" s="159"/>
      <c r="R39" s="159"/>
      <c r="S39" s="159">
        <f t="shared" si="8"/>
        <v>0</v>
      </c>
      <c r="T39" s="159">
        <f t="shared" si="9"/>
        <v>0</v>
      </c>
      <c r="U39" s="159"/>
      <c r="V39" s="160">
        <f t="shared" si="10"/>
        <v>0</v>
      </c>
      <c r="W39" s="157">
        <f>237*C39-(S39-O39)</f>
        <v>237</v>
      </c>
      <c r="X39" s="157">
        <f t="shared" si="11"/>
        <v>237</v>
      </c>
      <c r="Z39">
        <f t="shared" si="5"/>
        <v>0</v>
      </c>
    </row>
    <row r="40" spans="1:26" ht="11.25" customHeight="1">
      <c r="A40" s="154">
        <v>17</v>
      </c>
      <c r="B40" s="13" t="s">
        <v>268</v>
      </c>
      <c r="C40" s="43">
        <v>1</v>
      </c>
      <c r="D40" s="43">
        <v>315</v>
      </c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>
        <f>D40*0.071</f>
        <v>22.365</v>
      </c>
      <c r="P40" s="159"/>
      <c r="Q40" s="159"/>
      <c r="R40" s="159"/>
      <c r="S40" s="159">
        <f t="shared" si="8"/>
        <v>337.365</v>
      </c>
      <c r="T40" s="159">
        <f t="shared" si="9"/>
        <v>4048.38</v>
      </c>
      <c r="U40" s="159"/>
      <c r="V40" s="160">
        <f t="shared" si="10"/>
        <v>0</v>
      </c>
      <c r="W40" s="157"/>
      <c r="X40" s="157">
        <f t="shared" si="11"/>
        <v>337.365</v>
      </c>
      <c r="Z40">
        <f t="shared" si="5"/>
        <v>0</v>
      </c>
    </row>
    <row r="41" spans="1:26" ht="11.25" customHeight="1">
      <c r="A41" s="154">
        <v>18</v>
      </c>
      <c r="B41" s="13" t="s">
        <v>269</v>
      </c>
      <c r="C41" s="43">
        <v>1</v>
      </c>
      <c r="D41" s="43">
        <v>315</v>
      </c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>
        <f t="shared" si="8"/>
        <v>315</v>
      </c>
      <c r="T41" s="159">
        <f t="shared" si="9"/>
        <v>3780</v>
      </c>
      <c r="U41" s="159"/>
      <c r="V41" s="160">
        <f t="shared" si="10"/>
        <v>0</v>
      </c>
      <c r="W41" s="157"/>
      <c r="X41" s="157">
        <f t="shared" si="11"/>
        <v>315</v>
      </c>
      <c r="Z41">
        <f t="shared" si="5"/>
        <v>0</v>
      </c>
    </row>
    <row r="42" spans="1:26" ht="0.75" customHeight="1">
      <c r="A42" s="162">
        <v>19</v>
      </c>
      <c r="B42" s="159" t="s">
        <v>270</v>
      </c>
      <c r="C42" s="43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>
        <f t="shared" si="8"/>
        <v>0</v>
      </c>
      <c r="T42" s="159">
        <f t="shared" si="9"/>
        <v>0</v>
      </c>
      <c r="U42" s="159"/>
      <c r="V42" s="160">
        <f t="shared" si="10"/>
        <v>0</v>
      </c>
      <c r="X42" s="157">
        <f t="shared" si="11"/>
        <v>0</v>
      </c>
      <c r="Z42">
        <f t="shared" si="5"/>
        <v>0</v>
      </c>
    </row>
    <row r="43" spans="1:26" s="103" customFormat="1" ht="11.25" customHeight="1">
      <c r="A43" s="172">
        <v>19</v>
      </c>
      <c r="B43" s="153" t="s">
        <v>271</v>
      </c>
      <c r="C43" s="157">
        <v>1</v>
      </c>
      <c r="D43" s="153" t="e">
        <f>'[1]вихНВК2'!K31</f>
        <v>#REF!</v>
      </c>
      <c r="E43" s="153"/>
      <c r="F43" s="153"/>
      <c r="G43" s="153"/>
      <c r="H43" s="153"/>
      <c r="I43" s="153"/>
      <c r="J43" s="153"/>
      <c r="K43" s="153"/>
      <c r="L43" s="153"/>
      <c r="M43" s="153"/>
      <c r="N43" s="153" t="e">
        <f>C43*D43*0.1</f>
        <v>#REF!</v>
      </c>
      <c r="O43" s="153"/>
      <c r="P43" s="153"/>
      <c r="Q43" s="153"/>
      <c r="R43" s="153"/>
      <c r="S43" s="153" t="e">
        <f t="shared" si="8"/>
        <v>#REF!</v>
      </c>
      <c r="T43" s="153" t="e">
        <f t="shared" si="9"/>
        <v>#REF!</v>
      </c>
      <c r="U43" s="153"/>
      <c r="V43" s="173">
        <f t="shared" si="10"/>
        <v>0</v>
      </c>
      <c r="W43" s="111"/>
      <c r="X43" s="157" t="e">
        <f t="shared" si="11"/>
        <v>#REF!</v>
      </c>
      <c r="Z43" s="103">
        <f t="shared" si="5"/>
        <v>0</v>
      </c>
    </row>
    <row r="44" spans="2:26" ht="11.25" customHeight="1">
      <c r="B44" s="23" t="s">
        <v>86</v>
      </c>
      <c r="C44" s="115">
        <f>SUM(C36:C43)</f>
        <v>6</v>
      </c>
      <c r="D44" s="163" t="e">
        <f>(S44-R44-Q44-O44-N44-M44-L44-K44-J44-I44-H44-G44-F44-E44)/C44</f>
        <v>#REF!</v>
      </c>
      <c r="E44" s="22">
        <f aca="true" t="shared" si="12" ref="E44:Z44">SUM(E36:E43)</f>
        <v>0</v>
      </c>
      <c r="F44" s="22">
        <f t="shared" si="12"/>
        <v>0</v>
      </c>
      <c r="G44" s="22">
        <f t="shared" si="12"/>
        <v>0</v>
      </c>
      <c r="H44" s="22">
        <f t="shared" si="12"/>
        <v>0</v>
      </c>
      <c r="I44" s="22">
        <f t="shared" si="12"/>
        <v>0</v>
      </c>
      <c r="J44" s="22">
        <f t="shared" si="12"/>
        <v>0</v>
      </c>
      <c r="K44" s="22">
        <f t="shared" si="12"/>
        <v>0</v>
      </c>
      <c r="L44" s="22">
        <f t="shared" si="12"/>
        <v>0</v>
      </c>
      <c r="M44" s="22">
        <f t="shared" si="12"/>
        <v>0</v>
      </c>
      <c r="N44" s="22" t="e">
        <f t="shared" si="12"/>
        <v>#REF!</v>
      </c>
      <c r="O44" s="22">
        <f t="shared" si="12"/>
        <v>22.365</v>
      </c>
      <c r="Q44" s="22">
        <f t="shared" si="12"/>
        <v>0</v>
      </c>
      <c r="R44" s="22">
        <f t="shared" si="12"/>
        <v>0</v>
      </c>
      <c r="S44" s="22" t="e">
        <f t="shared" si="12"/>
        <v>#REF!</v>
      </c>
      <c r="T44" s="22" t="e">
        <f t="shared" si="12"/>
        <v>#REF!</v>
      </c>
      <c r="U44" s="22">
        <f t="shared" si="12"/>
        <v>0</v>
      </c>
      <c r="V44" s="22">
        <f t="shared" si="12"/>
        <v>0</v>
      </c>
      <c r="W44" s="103">
        <f t="shared" si="12"/>
        <v>237</v>
      </c>
      <c r="X44" s="103" t="e">
        <f t="shared" si="12"/>
        <v>#REF!</v>
      </c>
      <c r="Y44" s="22">
        <f t="shared" si="12"/>
        <v>0</v>
      </c>
      <c r="Z44" s="22">
        <f t="shared" si="12"/>
        <v>0</v>
      </c>
    </row>
    <row r="45" spans="2:26" ht="11.25" customHeight="1">
      <c r="B45" s="45" t="s">
        <v>272</v>
      </c>
      <c r="C45" s="115"/>
      <c r="X45" s="103"/>
      <c r="Y45" s="22"/>
      <c r="Z45">
        <f t="shared" si="5"/>
        <v>0</v>
      </c>
    </row>
    <row r="46" spans="1:26" ht="11.25" customHeight="1">
      <c r="A46" s="154">
        <v>20</v>
      </c>
      <c r="B46" s="174" t="s">
        <v>273</v>
      </c>
      <c r="C46" s="157">
        <v>10</v>
      </c>
      <c r="D46" s="43">
        <v>299</v>
      </c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>
        <f>C46*D46*0.1</f>
        <v>299</v>
      </c>
      <c r="P46" s="159"/>
      <c r="Q46" s="159"/>
      <c r="R46" s="159"/>
      <c r="S46" s="159">
        <f aca="true" t="shared" si="13" ref="S46:S58">SUM(E46:R46)+C46*D46</f>
        <v>3289</v>
      </c>
      <c r="T46" s="159">
        <f>S46*12</f>
        <v>39468</v>
      </c>
      <c r="U46" s="159"/>
      <c r="V46" s="160">
        <f aca="true" t="shared" si="14" ref="V46:V58">U46*12</f>
        <v>0</v>
      </c>
      <c r="W46" s="157">
        <f>310*C46-(S46-O46)</f>
        <v>110</v>
      </c>
      <c r="X46" s="157">
        <f>S46+U46+W46</f>
        <v>3399</v>
      </c>
      <c r="Z46">
        <f t="shared" si="5"/>
        <v>0</v>
      </c>
    </row>
    <row r="47" spans="1:26" ht="11.25" customHeight="1">
      <c r="A47" s="154">
        <v>21</v>
      </c>
      <c r="B47" s="13" t="s">
        <v>274</v>
      </c>
      <c r="C47" s="43">
        <v>2</v>
      </c>
      <c r="D47" s="43">
        <v>299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>
        <f t="shared" si="13"/>
        <v>598</v>
      </c>
      <c r="T47" s="159">
        <f>S47*12</f>
        <v>7176</v>
      </c>
      <c r="U47" s="159"/>
      <c r="V47" s="160">
        <f t="shared" si="14"/>
        <v>0</v>
      </c>
      <c r="W47" s="157">
        <f aca="true" t="shared" si="15" ref="W47:W58">310*C47-(S47-O47)</f>
        <v>22</v>
      </c>
      <c r="X47" s="157">
        <f aca="true" t="shared" si="16" ref="X47:X58">S47+U47+W47</f>
        <v>620</v>
      </c>
      <c r="Z47">
        <f t="shared" si="5"/>
        <v>0</v>
      </c>
    </row>
    <row r="48" spans="1:26" ht="11.25" customHeight="1">
      <c r="A48" s="154">
        <v>22</v>
      </c>
      <c r="B48" s="13" t="s">
        <v>275</v>
      </c>
      <c r="C48" s="43">
        <v>4</v>
      </c>
      <c r="D48" s="43">
        <v>299</v>
      </c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>
        <f t="shared" si="13"/>
        <v>1196</v>
      </c>
      <c r="T48" s="159">
        <f>S48*12</f>
        <v>14352</v>
      </c>
      <c r="U48" s="159"/>
      <c r="V48" s="160">
        <f t="shared" si="14"/>
        <v>0</v>
      </c>
      <c r="W48" s="157">
        <f t="shared" si="15"/>
        <v>44</v>
      </c>
      <c r="X48" s="157">
        <f t="shared" si="16"/>
        <v>1240</v>
      </c>
      <c r="Z48">
        <f t="shared" si="5"/>
        <v>0</v>
      </c>
    </row>
    <row r="49" spans="1:26" ht="11.25" customHeight="1">
      <c r="A49" s="154">
        <v>23</v>
      </c>
      <c r="B49" s="175" t="s">
        <v>276</v>
      </c>
      <c r="C49" s="43">
        <v>2</v>
      </c>
      <c r="D49" s="43">
        <v>320</v>
      </c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>
        <f t="shared" si="13"/>
        <v>640</v>
      </c>
      <c r="T49" s="159">
        <f>S49*12</f>
        <v>7680</v>
      </c>
      <c r="U49" s="159"/>
      <c r="V49" s="160">
        <f t="shared" si="14"/>
        <v>0</v>
      </c>
      <c r="W49" s="157"/>
      <c r="X49" s="157">
        <f t="shared" si="16"/>
        <v>640</v>
      </c>
      <c r="Z49">
        <f t="shared" si="5"/>
        <v>0</v>
      </c>
    </row>
    <row r="50" spans="1:26" ht="11.25" customHeight="1">
      <c r="A50" s="162">
        <v>24</v>
      </c>
      <c r="B50" s="159" t="s">
        <v>277</v>
      </c>
      <c r="C50" s="43">
        <v>5.5</v>
      </c>
      <c r="D50" s="43">
        <v>299</v>
      </c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>
        <f>152.62*2</f>
        <v>305.24</v>
      </c>
      <c r="S50" s="159">
        <f t="shared" si="13"/>
        <v>1949.74</v>
      </c>
      <c r="T50" s="159">
        <f>S50*12</f>
        <v>23396.88</v>
      </c>
      <c r="U50" s="159"/>
      <c r="V50" s="160">
        <f t="shared" si="14"/>
        <v>0</v>
      </c>
      <c r="W50" s="157"/>
      <c r="X50" s="157">
        <f t="shared" si="16"/>
        <v>1949.74</v>
      </c>
      <c r="Z50">
        <f t="shared" si="5"/>
        <v>0</v>
      </c>
    </row>
    <row r="51" spans="1:26" ht="11.25" customHeight="1" hidden="1">
      <c r="A51" s="162">
        <v>2</v>
      </c>
      <c r="B51" s="176" t="s">
        <v>278</v>
      </c>
      <c r="C51" s="43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>
        <f>C51*D51*0.12</f>
        <v>0</v>
      </c>
      <c r="P51" s="159"/>
      <c r="Q51" s="159"/>
      <c r="R51" s="159"/>
      <c r="S51" s="159">
        <f t="shared" si="13"/>
        <v>0</v>
      </c>
      <c r="T51" s="159">
        <f>1*D51*1.12*6+S51*6</f>
        <v>0</v>
      </c>
      <c r="U51" s="159"/>
      <c r="V51" s="160">
        <f t="shared" si="14"/>
        <v>0</v>
      </c>
      <c r="W51" s="157">
        <f t="shared" si="15"/>
        <v>0</v>
      </c>
      <c r="X51" s="157">
        <f t="shared" si="16"/>
        <v>0</v>
      </c>
      <c r="Z51">
        <f t="shared" si="5"/>
        <v>0</v>
      </c>
    </row>
    <row r="52" spans="1:26" ht="11.25" customHeight="1">
      <c r="A52" s="162">
        <v>25</v>
      </c>
      <c r="B52" s="159" t="s">
        <v>279</v>
      </c>
      <c r="C52" s="43">
        <v>1</v>
      </c>
      <c r="D52" s="43">
        <v>299</v>
      </c>
      <c r="E52" s="159"/>
      <c r="F52" s="159"/>
      <c r="G52" s="159"/>
      <c r="H52" s="159"/>
      <c r="I52" s="159"/>
      <c r="J52" s="159"/>
      <c r="K52" s="159"/>
      <c r="L52" s="159"/>
      <c r="M52" s="159">
        <f>D52*0.1*C52</f>
        <v>29.900000000000002</v>
      </c>
      <c r="N52" s="159"/>
      <c r="O52" s="159"/>
      <c r="P52" s="159"/>
      <c r="Q52" s="159"/>
      <c r="R52" s="159"/>
      <c r="S52" s="159">
        <f t="shared" si="13"/>
        <v>328.9</v>
      </c>
      <c r="T52" s="159">
        <f aca="true" t="shared" si="17" ref="T52:T57">S52*12</f>
        <v>3946.7999999999997</v>
      </c>
      <c r="U52" s="159"/>
      <c r="V52" s="160">
        <f t="shared" si="14"/>
        <v>0</v>
      </c>
      <c r="W52" s="157">
        <f>310*C52-(S52-O52-M52)</f>
        <v>11</v>
      </c>
      <c r="X52" s="157">
        <f t="shared" si="16"/>
        <v>339.9</v>
      </c>
      <c r="Z52">
        <f t="shared" si="5"/>
        <v>0</v>
      </c>
    </row>
    <row r="53" spans="1:26" ht="11.25" customHeight="1">
      <c r="A53" s="162">
        <v>26</v>
      </c>
      <c r="B53" s="159" t="s">
        <v>280</v>
      </c>
      <c r="C53" s="43">
        <v>1</v>
      </c>
      <c r="D53" s="43">
        <v>312</v>
      </c>
      <c r="E53" s="159"/>
      <c r="F53" s="159"/>
      <c r="G53" s="159"/>
      <c r="H53" s="159"/>
      <c r="I53" s="159"/>
      <c r="J53" s="159"/>
      <c r="K53" s="159"/>
      <c r="L53" s="159"/>
      <c r="M53" s="159"/>
      <c r="N53" s="159">
        <f>C53*D53*0.2</f>
        <v>62.400000000000006</v>
      </c>
      <c r="O53" s="159">
        <f>C53*D53*0.06</f>
        <v>18.72</v>
      </c>
      <c r="P53" s="159"/>
      <c r="Q53" s="159"/>
      <c r="R53" s="159"/>
      <c r="S53" s="159">
        <f t="shared" si="13"/>
        <v>393.12</v>
      </c>
      <c r="T53" s="159">
        <f t="shared" si="17"/>
        <v>4717.4400000000005</v>
      </c>
      <c r="U53" s="159"/>
      <c r="V53" s="160">
        <f t="shared" si="14"/>
        <v>0</v>
      </c>
      <c r="W53" s="157"/>
      <c r="X53" s="157">
        <f t="shared" si="16"/>
        <v>393.12</v>
      </c>
      <c r="Z53">
        <f t="shared" si="5"/>
        <v>0</v>
      </c>
    </row>
    <row r="54" spans="1:26" ht="11.25" customHeight="1">
      <c r="A54" s="162">
        <v>27</v>
      </c>
      <c r="B54" s="159" t="s">
        <v>280</v>
      </c>
      <c r="C54" s="43">
        <v>1</v>
      </c>
      <c r="D54" s="43">
        <v>316</v>
      </c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>
        <f>C54*D54*0.06</f>
        <v>18.96</v>
      </c>
      <c r="P54" s="159"/>
      <c r="Q54" s="159"/>
      <c r="R54" s="159"/>
      <c r="S54" s="159">
        <f t="shared" si="13"/>
        <v>334.96</v>
      </c>
      <c r="T54" s="159">
        <f t="shared" si="17"/>
        <v>4019.5199999999995</v>
      </c>
      <c r="U54" s="159"/>
      <c r="V54" s="160">
        <f t="shared" si="14"/>
        <v>0</v>
      </c>
      <c r="W54" s="157"/>
      <c r="X54" s="157">
        <f t="shared" si="16"/>
        <v>334.96</v>
      </c>
      <c r="Z54">
        <f t="shared" si="5"/>
        <v>0</v>
      </c>
    </row>
    <row r="55" spans="1:26" ht="11.25" customHeight="1">
      <c r="A55" s="162">
        <v>28</v>
      </c>
      <c r="B55" s="159" t="s">
        <v>281</v>
      </c>
      <c r="C55" s="43">
        <v>0.5</v>
      </c>
      <c r="D55" s="43">
        <v>299</v>
      </c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>
        <f t="shared" si="13"/>
        <v>149.5</v>
      </c>
      <c r="T55" s="159">
        <f t="shared" si="17"/>
        <v>1794</v>
      </c>
      <c r="U55" s="159"/>
      <c r="V55" s="160">
        <f t="shared" si="14"/>
        <v>0</v>
      </c>
      <c r="W55" s="157">
        <f t="shared" si="15"/>
        <v>5.5</v>
      </c>
      <c r="X55" s="157">
        <f t="shared" si="16"/>
        <v>155</v>
      </c>
      <c r="Z55">
        <f t="shared" si="5"/>
        <v>0</v>
      </c>
    </row>
    <row r="56" spans="1:26" ht="11.25" customHeight="1">
      <c r="A56" s="162">
        <v>29</v>
      </c>
      <c r="B56" s="176" t="s">
        <v>282</v>
      </c>
      <c r="C56" s="43">
        <v>1.75</v>
      </c>
      <c r="D56" s="43">
        <v>308</v>
      </c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>
        <f>C56*D56*0.08</f>
        <v>43.12</v>
      </c>
      <c r="P56" s="159"/>
      <c r="Q56" s="159"/>
      <c r="R56" s="159"/>
      <c r="S56" s="159">
        <f t="shared" si="13"/>
        <v>582.12</v>
      </c>
      <c r="T56" s="159">
        <f t="shared" si="17"/>
        <v>6985.4400000000005</v>
      </c>
      <c r="U56" s="159"/>
      <c r="V56" s="160">
        <f t="shared" si="14"/>
        <v>0</v>
      </c>
      <c r="W56" s="157">
        <f t="shared" si="15"/>
        <v>3.5</v>
      </c>
      <c r="X56" s="157">
        <f t="shared" si="16"/>
        <v>585.62</v>
      </c>
      <c r="Z56">
        <f t="shared" si="5"/>
        <v>0</v>
      </c>
    </row>
    <row r="57" spans="1:26" ht="11.25" customHeight="1">
      <c r="A57" s="162">
        <v>30</v>
      </c>
      <c r="B57" s="159" t="s">
        <v>283</v>
      </c>
      <c r="C57" s="43">
        <v>5.75</v>
      </c>
      <c r="D57" s="43">
        <v>331</v>
      </c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>
        <f t="shared" si="13"/>
        <v>1903.25</v>
      </c>
      <c r="T57" s="159">
        <f t="shared" si="17"/>
        <v>22839</v>
      </c>
      <c r="U57" s="159"/>
      <c r="V57" s="160">
        <f t="shared" si="14"/>
        <v>0</v>
      </c>
      <c r="W57" s="157"/>
      <c r="X57" s="157">
        <f t="shared" si="16"/>
        <v>1903.25</v>
      </c>
      <c r="Z57">
        <f t="shared" si="5"/>
        <v>0</v>
      </c>
    </row>
    <row r="58" spans="1:26" ht="11.25" customHeight="1">
      <c r="A58" s="162">
        <v>31</v>
      </c>
      <c r="B58" s="159" t="s">
        <v>284</v>
      </c>
      <c r="C58" s="43">
        <v>1.5</v>
      </c>
      <c r="D58" s="43">
        <v>308</v>
      </c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>
        <f>D58*C58*0.1</f>
        <v>46.2</v>
      </c>
      <c r="P58" s="159"/>
      <c r="Q58" s="159"/>
      <c r="R58" s="159"/>
      <c r="S58" s="159">
        <f t="shared" si="13"/>
        <v>508.2</v>
      </c>
      <c r="T58" s="159">
        <f>S58*12</f>
        <v>6098.4</v>
      </c>
      <c r="U58" s="159"/>
      <c r="V58" s="160">
        <f t="shared" si="14"/>
        <v>0</v>
      </c>
      <c r="W58" s="157">
        <f t="shared" si="15"/>
        <v>3</v>
      </c>
      <c r="X58" s="157">
        <f t="shared" si="16"/>
        <v>511.2</v>
      </c>
      <c r="Z58">
        <f t="shared" si="5"/>
        <v>0</v>
      </c>
    </row>
    <row r="59" spans="1:24" ht="11.25" customHeight="1">
      <c r="A59" s="159">
        <v>32</v>
      </c>
      <c r="B59" s="159" t="s">
        <v>290</v>
      </c>
      <c r="C59" s="43">
        <v>0.5</v>
      </c>
      <c r="D59" s="4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165"/>
      <c r="X59" s="165"/>
    </row>
    <row r="60" spans="2:26" ht="11.25" customHeight="1" thickBot="1">
      <c r="B60" s="23" t="s">
        <v>86</v>
      </c>
      <c r="C60" s="115">
        <f>SUM(C46:C59)</f>
        <v>36.5</v>
      </c>
      <c r="D60" s="163">
        <f>(S60-R60-Q60-O60-N60-M60-L60-K60-J60-I60-H60-G60-F60-E60)/C60</f>
        <v>302.71917808219183</v>
      </c>
      <c r="E60" s="22">
        <f aca="true" t="shared" si="18" ref="E60:Z60">SUM(E46:E58)</f>
        <v>0</v>
      </c>
      <c r="F60" s="22">
        <f t="shared" si="18"/>
        <v>0</v>
      </c>
      <c r="G60" s="22">
        <f t="shared" si="18"/>
        <v>0</v>
      </c>
      <c r="H60" s="22">
        <f t="shared" si="18"/>
        <v>0</v>
      </c>
      <c r="I60" s="22">
        <f t="shared" si="18"/>
        <v>0</v>
      </c>
      <c r="J60" s="22">
        <f t="shared" si="18"/>
        <v>0</v>
      </c>
      <c r="K60" s="22">
        <f t="shared" si="18"/>
        <v>0</v>
      </c>
      <c r="L60" s="22">
        <f t="shared" si="18"/>
        <v>0</v>
      </c>
      <c r="M60" s="22">
        <f t="shared" si="18"/>
        <v>29.900000000000002</v>
      </c>
      <c r="N60" s="22">
        <f t="shared" si="18"/>
        <v>62.400000000000006</v>
      </c>
      <c r="O60" s="22">
        <f t="shared" si="18"/>
        <v>426</v>
      </c>
      <c r="Q60" s="22">
        <f t="shared" si="18"/>
        <v>0</v>
      </c>
      <c r="R60" s="22">
        <f t="shared" si="18"/>
        <v>305.24</v>
      </c>
      <c r="S60" s="22">
        <f t="shared" si="18"/>
        <v>11872.79</v>
      </c>
      <c r="T60" s="22">
        <f t="shared" si="18"/>
        <v>142473.48</v>
      </c>
      <c r="U60" s="22">
        <f t="shared" si="18"/>
        <v>0</v>
      </c>
      <c r="V60" s="22">
        <f t="shared" si="18"/>
        <v>0</v>
      </c>
      <c r="W60" s="103">
        <f t="shared" si="18"/>
        <v>199</v>
      </c>
      <c r="X60" s="103">
        <f t="shared" si="18"/>
        <v>12071.79</v>
      </c>
      <c r="Y60" s="22">
        <f t="shared" si="18"/>
        <v>0</v>
      </c>
      <c r="Z60" s="22">
        <f t="shared" si="18"/>
        <v>0</v>
      </c>
    </row>
    <row r="61" spans="1:26" ht="11.25" customHeight="1" thickBot="1">
      <c r="A61" s="177"/>
      <c r="B61" s="178" t="s">
        <v>41</v>
      </c>
      <c r="C61" s="179">
        <f>C60+C44+C34+C29</f>
        <v>119.43</v>
      </c>
      <c r="D61" s="180" t="e">
        <f>(S61-R61-Q61-O61-N61-M61-L61-K61-J61-I61-H61-G61-F61-E61)/C61</f>
        <v>#REF!</v>
      </c>
      <c r="E61" s="179">
        <f aca="true" t="shared" si="19" ref="E61:X61">E60+E44+E34+E29</f>
        <v>1639.052777777778</v>
      </c>
      <c r="F61" s="181">
        <f t="shared" si="19"/>
        <v>28</v>
      </c>
      <c r="G61" s="179">
        <f t="shared" si="19"/>
        <v>1</v>
      </c>
      <c r="H61" s="179">
        <f t="shared" si="19"/>
        <v>0</v>
      </c>
      <c r="I61" s="179">
        <f t="shared" si="19"/>
        <v>0</v>
      </c>
      <c r="J61" s="179">
        <f t="shared" si="19"/>
        <v>74.7</v>
      </c>
      <c r="K61" s="179">
        <f t="shared" si="19"/>
        <v>0</v>
      </c>
      <c r="L61" s="179">
        <f t="shared" si="19"/>
        <v>0</v>
      </c>
      <c r="M61" s="179">
        <f t="shared" si="19"/>
        <v>29.900000000000002</v>
      </c>
      <c r="N61" s="179" t="e">
        <f t="shared" si="19"/>
        <v>#REF!</v>
      </c>
      <c r="O61" s="179">
        <f t="shared" si="19"/>
        <v>448.365</v>
      </c>
      <c r="P61" s="179"/>
      <c r="Q61" s="179">
        <f t="shared" si="19"/>
        <v>0</v>
      </c>
      <c r="R61" s="179">
        <f t="shared" si="19"/>
        <v>305.24</v>
      </c>
      <c r="S61" s="179" t="e">
        <f t="shared" si="19"/>
        <v>#REF!</v>
      </c>
      <c r="T61" s="179" t="e">
        <f t="shared" si="19"/>
        <v>#REF!</v>
      </c>
      <c r="U61" s="179" t="e">
        <f t="shared" si="19"/>
        <v>#REF!</v>
      </c>
      <c r="V61" s="179" t="e">
        <f t="shared" si="19"/>
        <v>#REF!</v>
      </c>
      <c r="W61" s="182">
        <f t="shared" si="19"/>
        <v>436</v>
      </c>
      <c r="X61" s="182" t="e">
        <f t="shared" si="19"/>
        <v>#REF!</v>
      </c>
      <c r="Y61" s="182" t="e">
        <f>Y60+Y44+Y34+Y29</f>
        <v>#REF!</v>
      </c>
      <c r="Z61" s="182" t="e">
        <f>Z60+Z44+Z34+Z29</f>
        <v>#REF!</v>
      </c>
    </row>
    <row r="62" spans="19:24" ht="11.25" customHeight="1">
      <c r="S62" s="103"/>
      <c r="W62" s="103"/>
      <c r="X62" s="103"/>
    </row>
    <row r="64" ht="11.25" customHeight="1"/>
    <row r="65" spans="1:19" ht="12.75" hidden="1">
      <c r="A65" s="22" t="s">
        <v>165</v>
      </c>
      <c r="C65" s="22" t="s">
        <v>292</v>
      </c>
      <c r="H65" s="22" t="s">
        <v>285</v>
      </c>
      <c r="S65" s="167"/>
    </row>
    <row r="66" spans="1:24" ht="12.75" hidden="1">
      <c r="A66" s="22" t="s">
        <v>194</v>
      </c>
      <c r="C66" s="22" t="s">
        <v>195</v>
      </c>
      <c r="H66" s="22" t="s">
        <v>286</v>
      </c>
      <c r="S66" s="167"/>
      <c r="X66" s="103"/>
    </row>
    <row r="67" spans="1:11" s="1" customFormat="1" ht="12.75" customHeight="1">
      <c r="A67" s="104" t="s">
        <v>312</v>
      </c>
      <c r="E67" s="104"/>
      <c r="K67"/>
    </row>
    <row r="68" spans="1:11" s="1" customFormat="1" ht="12.75" customHeight="1">
      <c r="A68" s="1" t="s">
        <v>189</v>
      </c>
      <c r="C68" s="104" t="s">
        <v>332</v>
      </c>
      <c r="D68" s="104"/>
      <c r="E68" s="22"/>
      <c r="K68"/>
    </row>
  </sheetData>
  <printOptions/>
  <pageMargins left="0.75" right="0.33" top="1" bottom="1" header="0.5" footer="0.5"/>
  <pageSetup fitToHeight="1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7"/>
  <sheetViews>
    <sheetView workbookViewId="0" topLeftCell="A1">
      <selection activeCell="AC32" sqref="AC32"/>
    </sheetView>
  </sheetViews>
  <sheetFormatPr defaultColWidth="9.00390625" defaultRowHeight="12.75"/>
  <cols>
    <col min="1" max="1" width="3.625" style="22" customWidth="1"/>
    <col min="2" max="2" width="61.375" style="22" customWidth="1"/>
    <col min="3" max="3" width="18.625" style="22" customWidth="1"/>
    <col min="4" max="4" width="0.2421875" style="22" hidden="1" customWidth="1"/>
    <col min="5" max="5" width="8.625" style="22" hidden="1" customWidth="1"/>
    <col min="6" max="6" width="8.00390625" style="22" hidden="1" customWidth="1"/>
    <col min="7" max="7" width="6.625" style="22" hidden="1" customWidth="1"/>
    <col min="8" max="8" width="6.75390625" style="22" hidden="1" customWidth="1"/>
    <col min="9" max="9" width="6.375" style="22" hidden="1" customWidth="1"/>
    <col min="10" max="10" width="1.75390625" style="22" hidden="1" customWidth="1"/>
    <col min="11" max="11" width="5.125" style="22" hidden="1" customWidth="1"/>
    <col min="12" max="12" width="4.75390625" style="22" hidden="1" customWidth="1"/>
    <col min="13" max="13" width="5.75390625" style="22" hidden="1" customWidth="1"/>
    <col min="14" max="14" width="5.25390625" style="22" hidden="1" customWidth="1"/>
    <col min="15" max="15" width="6.75390625" style="22" hidden="1" customWidth="1"/>
    <col min="16" max="16" width="5.25390625" style="22" hidden="1" customWidth="1"/>
    <col min="17" max="17" width="6.25390625" style="22" hidden="1" customWidth="1"/>
    <col min="18" max="18" width="7.25390625" style="22" hidden="1" customWidth="1"/>
    <col min="19" max="19" width="9.125" style="22" hidden="1" customWidth="1"/>
    <col min="20" max="20" width="9.375" style="22" hidden="1" customWidth="1"/>
    <col min="21" max="21" width="7.75390625" style="22" hidden="1" customWidth="1"/>
    <col min="22" max="22" width="9.25390625" style="22" hidden="1" customWidth="1"/>
    <col min="23" max="23" width="7.25390625" style="111" hidden="1" customWidth="1"/>
    <col min="24" max="24" width="8.375" style="111" hidden="1" customWidth="1"/>
    <col min="25" max="25" width="0.37109375" style="0" hidden="1" customWidth="1"/>
    <col min="26" max="26" width="0.12890625" style="0" hidden="1" customWidth="1"/>
    <col min="27" max="27" width="8.75390625" style="22" customWidth="1"/>
    <col min="28" max="16384" width="9.125" style="22" customWidth="1"/>
  </cols>
  <sheetData>
    <row r="1" spans="3:27" ht="18.75" customHeight="1">
      <c r="C1" s="1" t="s">
        <v>190</v>
      </c>
      <c r="D1"/>
      <c r="E1" s="1"/>
      <c r="AA1" s="105"/>
    </row>
    <row r="2" spans="3:27" ht="18.75" customHeight="1">
      <c r="C2" s="1" t="s">
        <v>293</v>
      </c>
      <c r="D2"/>
      <c r="E2" s="1"/>
      <c r="AA2" s="26"/>
    </row>
    <row r="3" spans="3:27" ht="18.75" customHeight="1">
      <c r="C3" s="1" t="s">
        <v>294</v>
      </c>
      <c r="D3"/>
      <c r="E3" s="1"/>
      <c r="AA3" s="26"/>
    </row>
    <row r="4" spans="2:18" ht="18" customHeight="1">
      <c r="B4" s="110" t="s">
        <v>199</v>
      </c>
      <c r="R4" s="105" t="s">
        <v>200</v>
      </c>
    </row>
    <row r="5" spans="15:20" ht="10.5" customHeight="1">
      <c r="O5" s="22" t="s">
        <v>201</v>
      </c>
      <c r="S5" s="22">
        <f>C60</f>
        <v>54.03</v>
      </c>
      <c r="T5" s="22" t="s">
        <v>202</v>
      </c>
    </row>
    <row r="6" spans="2:15" ht="12.75" customHeight="1" thickBot="1">
      <c r="B6" s="112" t="s">
        <v>300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22" t="s">
        <v>203</v>
      </c>
    </row>
    <row r="7" spans="2:20" ht="12.75">
      <c r="B7" s="114" t="s">
        <v>204</v>
      </c>
      <c r="O7" s="22" t="s">
        <v>205</v>
      </c>
      <c r="S7" s="115" t="e">
        <f>X60</f>
        <v>#REF!</v>
      </c>
      <c r="T7" s="22" t="s">
        <v>206</v>
      </c>
    </row>
    <row r="8" spans="15:21" ht="12.75">
      <c r="O8" s="22" t="s">
        <v>207</v>
      </c>
      <c r="S8" s="22" t="s">
        <v>186</v>
      </c>
      <c r="U8" s="115"/>
    </row>
    <row r="9" ht="12.75">
      <c r="U9" s="115"/>
    </row>
    <row r="10" spans="10:21" ht="10.5" customHeight="1">
      <c r="J10" s="115"/>
      <c r="R10" s="114" t="s">
        <v>208</v>
      </c>
      <c r="U10" s="115"/>
    </row>
    <row r="11" spans="15:21" ht="12.75">
      <c r="O11" s="22" t="s">
        <v>207</v>
      </c>
      <c r="Q11" s="116"/>
      <c r="S11" s="117">
        <v>38534</v>
      </c>
      <c r="U11" s="115"/>
    </row>
    <row r="12" ht="10.5" customHeight="1">
      <c r="R12" s="114" t="s">
        <v>209</v>
      </c>
    </row>
    <row r="13" spans="6:21" ht="2.25" customHeight="1" thickBot="1">
      <c r="F13" s="118"/>
      <c r="U13" s="114"/>
    </row>
    <row r="14" spans="1:26" ht="10.5" customHeight="1">
      <c r="A14" s="119" t="s">
        <v>210</v>
      </c>
      <c r="B14" s="120" t="s">
        <v>287</v>
      </c>
      <c r="C14" s="121" t="s">
        <v>288</v>
      </c>
      <c r="D14" s="121" t="s">
        <v>211</v>
      </c>
      <c r="E14" s="122"/>
      <c r="F14" s="123"/>
      <c r="G14" s="122" t="s">
        <v>212</v>
      </c>
      <c r="H14" s="122"/>
      <c r="I14" s="122"/>
      <c r="J14" s="122"/>
      <c r="K14" s="122"/>
      <c r="L14" s="122"/>
      <c r="M14" s="124"/>
      <c r="N14" s="123" t="s">
        <v>213</v>
      </c>
      <c r="O14" s="123"/>
      <c r="P14" s="123"/>
      <c r="Q14" s="123"/>
      <c r="R14" s="125"/>
      <c r="S14" s="126" t="s">
        <v>214</v>
      </c>
      <c r="T14" s="127" t="s">
        <v>214</v>
      </c>
      <c r="U14" s="128" t="s">
        <v>215</v>
      </c>
      <c r="V14" s="129" t="s">
        <v>215</v>
      </c>
      <c r="W14" s="130" t="s">
        <v>216</v>
      </c>
      <c r="X14" s="130" t="s">
        <v>41</v>
      </c>
      <c r="Z14" s="131"/>
    </row>
    <row r="15" spans="1:26" ht="9.75" customHeight="1">
      <c r="A15" s="132" t="s">
        <v>217</v>
      </c>
      <c r="B15" s="23"/>
      <c r="C15" s="133"/>
      <c r="D15" s="133" t="s">
        <v>218</v>
      </c>
      <c r="E15" s="133" t="s">
        <v>219</v>
      </c>
      <c r="F15" s="133" t="s">
        <v>220</v>
      </c>
      <c r="G15" s="133" t="s">
        <v>221</v>
      </c>
      <c r="H15" s="133" t="s">
        <v>222</v>
      </c>
      <c r="I15" s="133" t="s">
        <v>223</v>
      </c>
      <c r="J15" s="133" t="s">
        <v>224</v>
      </c>
      <c r="K15" s="133"/>
      <c r="L15" s="133" t="s">
        <v>225</v>
      </c>
      <c r="M15" s="134" t="s">
        <v>226</v>
      </c>
      <c r="N15" s="134" t="s">
        <v>227</v>
      </c>
      <c r="O15" s="130" t="s">
        <v>228</v>
      </c>
      <c r="P15" s="135" t="s">
        <v>229</v>
      </c>
      <c r="Q15" s="135" t="s">
        <v>229</v>
      </c>
      <c r="R15" s="136" t="s">
        <v>230</v>
      </c>
      <c r="S15" s="137" t="s">
        <v>231</v>
      </c>
      <c r="T15" s="138" t="s">
        <v>231</v>
      </c>
      <c r="U15" s="139" t="s">
        <v>232</v>
      </c>
      <c r="V15" s="140" t="s">
        <v>232</v>
      </c>
      <c r="W15" s="135" t="s">
        <v>233</v>
      </c>
      <c r="X15" s="135" t="s">
        <v>234</v>
      </c>
      <c r="Y15" s="131" t="s">
        <v>235</v>
      </c>
      <c r="Z15" s="131" t="s">
        <v>236</v>
      </c>
    </row>
    <row r="16" spans="1:26" ht="9" customHeight="1" thickBot="1">
      <c r="A16" s="141"/>
      <c r="B16" s="113"/>
      <c r="C16" s="142"/>
      <c r="D16" s="142"/>
      <c r="E16" s="142" t="s">
        <v>237</v>
      </c>
      <c r="F16" s="142"/>
      <c r="G16" s="142"/>
      <c r="H16" s="142"/>
      <c r="I16" s="142" t="s">
        <v>238</v>
      </c>
      <c r="J16" s="142" t="s">
        <v>239</v>
      </c>
      <c r="K16" s="142" t="s">
        <v>240</v>
      </c>
      <c r="L16" s="142"/>
      <c r="M16" s="142"/>
      <c r="N16" s="142"/>
      <c r="O16" s="143" t="s">
        <v>241</v>
      </c>
      <c r="P16" s="144" t="s">
        <v>242</v>
      </c>
      <c r="Q16" s="144" t="s">
        <v>243</v>
      </c>
      <c r="R16" s="145"/>
      <c r="S16" s="146" t="s">
        <v>244</v>
      </c>
      <c r="T16" s="147" t="s">
        <v>245</v>
      </c>
      <c r="U16" s="148" t="s">
        <v>246</v>
      </c>
      <c r="V16" s="149" t="s">
        <v>247</v>
      </c>
      <c r="W16" s="150" t="s">
        <v>248</v>
      </c>
      <c r="X16" s="150" t="s">
        <v>249</v>
      </c>
      <c r="Y16" s="131" t="s">
        <v>250</v>
      </c>
      <c r="Z16" s="131" t="s">
        <v>251</v>
      </c>
    </row>
    <row r="17" spans="1:24" ht="11.25" customHeight="1" thickBot="1">
      <c r="A17" s="151"/>
      <c r="B17" s="152" t="s">
        <v>252</v>
      </c>
      <c r="W17" s="153"/>
      <c r="X17" s="153"/>
    </row>
    <row r="18" spans="1:26" ht="14.25" customHeight="1">
      <c r="A18" s="154">
        <v>1</v>
      </c>
      <c r="B18" s="13" t="s">
        <v>253</v>
      </c>
      <c r="C18" s="183">
        <v>1</v>
      </c>
      <c r="D18" s="155" t="e">
        <f>'[1]НВК 2'!M8</f>
        <v>#REF!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 t="e">
        <f aca="true" t="shared" si="0" ref="S18:S28">SUM(E18:R18)+C18*D18</f>
        <v>#REF!</v>
      </c>
      <c r="T18" s="155" t="e">
        <f aca="true" t="shared" si="1" ref="T18:T28">S18*12</f>
        <v>#REF!</v>
      </c>
      <c r="U18" s="155">
        <f>'[1]НВК 2'!BT8</f>
        <v>0</v>
      </c>
      <c r="V18" s="156">
        <f aca="true" t="shared" si="2" ref="V18:V28">U18*12</f>
        <v>0</v>
      </c>
      <c r="W18" s="157"/>
      <c r="X18" s="157" t="e">
        <f>S18+U18+W18</f>
        <v>#REF!</v>
      </c>
      <c r="Y18" t="e">
        <f>D18*C18</f>
        <v>#REF!</v>
      </c>
      <c r="Z18" t="e">
        <f>Y18/2</f>
        <v>#REF!</v>
      </c>
    </row>
    <row r="19" spans="1:26" ht="15" customHeight="1">
      <c r="A19" s="154">
        <v>2</v>
      </c>
      <c r="B19" s="158" t="s">
        <v>319</v>
      </c>
      <c r="C19" s="43">
        <v>2</v>
      </c>
      <c r="D19" s="159" t="e">
        <f>D18*0.9</f>
        <v>#REF!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 t="e">
        <f t="shared" si="0"/>
        <v>#REF!</v>
      </c>
      <c r="T19" s="159" t="e">
        <f t="shared" si="1"/>
        <v>#REF!</v>
      </c>
      <c r="U19" s="159" t="e">
        <f>'[1]НВК 2'!BT10+'[1]НВК 2'!BT12+'[1]НВК 2'!BT14+'[1]НВК 2'!#REF!+'[1]НВК 2'!BT16</f>
        <v>#REF!</v>
      </c>
      <c r="V19" s="160" t="e">
        <f t="shared" si="2"/>
        <v>#REF!</v>
      </c>
      <c r="W19" s="157"/>
      <c r="X19" s="157" t="e">
        <f aca="true" t="shared" si="3" ref="X19:X24">S19+U19+W19</f>
        <v>#REF!</v>
      </c>
      <c r="Y19" t="e">
        <f aca="true" t="shared" si="4" ref="Y19:Y28">D19*C19</f>
        <v>#REF!</v>
      </c>
      <c r="Z19" t="e">
        <f aca="true" t="shared" si="5" ref="Z19:Z50">Y19/2</f>
        <v>#REF!</v>
      </c>
    </row>
    <row r="20" spans="1:26" ht="11.25" customHeight="1">
      <c r="A20" s="154">
        <v>3</v>
      </c>
      <c r="B20" s="13" t="s">
        <v>255</v>
      </c>
      <c r="C20" s="43">
        <v>1</v>
      </c>
      <c r="D20" s="159" t="e">
        <f>('[1]НВК 2'!M19*'[1]НВК 2'!BH19+'[1]НВК 2'!BH20*'[1]НВК 2'!M20)/'[1]ш2'!C16</f>
        <v>#REF!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 t="e">
        <f t="shared" si="0"/>
        <v>#REF!</v>
      </c>
      <c r="T20" s="159" t="e">
        <f t="shared" si="1"/>
        <v>#REF!</v>
      </c>
      <c r="U20" s="159">
        <f>'[1]НВК 2'!BT19+'[1]НВК 2'!BT20</f>
        <v>18</v>
      </c>
      <c r="V20" s="160">
        <f t="shared" si="2"/>
        <v>216</v>
      </c>
      <c r="W20" s="157"/>
      <c r="X20" s="157" t="e">
        <f t="shared" si="3"/>
        <v>#REF!</v>
      </c>
      <c r="Y20" t="e">
        <f t="shared" si="4"/>
        <v>#REF!</v>
      </c>
      <c r="Z20" t="e">
        <f t="shared" si="5"/>
        <v>#REF!</v>
      </c>
    </row>
    <row r="21" spans="1:26" ht="11.25" customHeight="1">
      <c r="A21" s="154">
        <v>4</v>
      </c>
      <c r="B21" s="13" t="s">
        <v>256</v>
      </c>
      <c r="C21" s="43">
        <v>0.5</v>
      </c>
      <c r="D21" s="159" t="e">
        <f>('[1]НВК 2'!M22*'[1]НВК 2'!BH22+'[1]НВК 2'!BH24*'[1]НВК 2'!M24)/'[1]ш2'!C17</f>
        <v>#REF!</v>
      </c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 t="e">
        <f t="shared" si="0"/>
        <v>#REF!</v>
      </c>
      <c r="T21" s="159" t="e">
        <f t="shared" si="1"/>
        <v>#REF!</v>
      </c>
      <c r="U21" s="159">
        <f>'[1]НВК 2'!BT22+'[1]НВК 2'!BT24</f>
        <v>41.5</v>
      </c>
      <c r="V21" s="160">
        <f t="shared" si="2"/>
        <v>498</v>
      </c>
      <c r="W21" s="157"/>
      <c r="X21" s="157" t="e">
        <f t="shared" si="3"/>
        <v>#REF!</v>
      </c>
      <c r="Y21" t="e">
        <f t="shared" si="4"/>
        <v>#REF!</v>
      </c>
      <c r="Z21" t="e">
        <f t="shared" si="5"/>
        <v>#REF!</v>
      </c>
    </row>
    <row r="22" spans="1:26" ht="12.75" customHeight="1">
      <c r="A22" s="154">
        <v>5</v>
      </c>
      <c r="B22" s="13" t="s">
        <v>301</v>
      </c>
      <c r="C22" s="43">
        <v>0.5</v>
      </c>
      <c r="D22" s="159" t="e">
        <f>'[1]НВК 2'!M26</f>
        <v>#REF!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 t="e">
        <f t="shared" si="0"/>
        <v>#REF!</v>
      </c>
      <c r="T22" s="159" t="e">
        <f t="shared" si="1"/>
        <v>#REF!</v>
      </c>
      <c r="U22" s="159">
        <f>'[1]НВК 2'!BT26</f>
        <v>0</v>
      </c>
      <c r="V22" s="160">
        <f t="shared" si="2"/>
        <v>0</v>
      </c>
      <c r="W22" s="157"/>
      <c r="X22" s="157" t="e">
        <f t="shared" si="3"/>
        <v>#REF!</v>
      </c>
      <c r="Y22" t="e">
        <f t="shared" si="4"/>
        <v>#REF!</v>
      </c>
      <c r="Z22" t="e">
        <f t="shared" si="5"/>
        <v>#REF!</v>
      </c>
    </row>
    <row r="23" spans="1:24" ht="0.75" customHeight="1" hidden="1">
      <c r="A23" s="154"/>
      <c r="B23" s="13"/>
      <c r="C23" s="43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61"/>
      <c r="V23" s="160"/>
      <c r="X23" s="157"/>
    </row>
    <row r="24" spans="1:26" ht="13.5" customHeight="1">
      <c r="A24" s="154">
        <v>7</v>
      </c>
      <c r="B24" s="13" t="s">
        <v>259</v>
      </c>
      <c r="C24" s="43">
        <v>1</v>
      </c>
      <c r="D24" s="159">
        <f>'[1]НВК 2'!BB131/'[1]ш2'!C20</f>
        <v>18</v>
      </c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>
        <f t="shared" si="0"/>
        <v>18</v>
      </c>
      <c r="T24" s="159">
        <f t="shared" si="1"/>
        <v>216</v>
      </c>
      <c r="U24" s="161">
        <f>'[1]НВК 2'!BU131</f>
        <v>1243.4250000000002</v>
      </c>
      <c r="V24" s="160">
        <f t="shared" si="2"/>
        <v>14921.100000000002</v>
      </c>
      <c r="W24" s="157"/>
      <c r="X24" s="157">
        <f t="shared" si="3"/>
        <v>1261.4250000000002</v>
      </c>
      <c r="Y24">
        <f t="shared" si="4"/>
        <v>18</v>
      </c>
      <c r="Z24">
        <f t="shared" si="5"/>
        <v>9</v>
      </c>
    </row>
    <row r="25" spans="1:24" ht="11.25" customHeight="1" hidden="1">
      <c r="A25" s="162"/>
      <c r="B25" s="159"/>
      <c r="C25" s="43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61"/>
      <c r="V25" s="160"/>
      <c r="W25" s="157"/>
      <c r="X25" s="157"/>
    </row>
    <row r="26" spans="1:24" ht="11.25" customHeight="1" hidden="1">
      <c r="A26" s="162"/>
      <c r="B26" s="159"/>
      <c r="C26" s="43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60"/>
      <c r="W26" s="157"/>
      <c r="X26" s="157"/>
    </row>
    <row r="27" spans="1:26" ht="11.25" customHeight="1" hidden="1">
      <c r="A27" s="162"/>
      <c r="B27" s="159"/>
      <c r="C27" s="43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60"/>
      <c r="W27" s="157"/>
      <c r="X27" s="157"/>
      <c r="Y27">
        <f t="shared" si="4"/>
        <v>0</v>
      </c>
      <c r="Z27">
        <f t="shared" si="5"/>
        <v>0</v>
      </c>
    </row>
    <row r="28" spans="1:26" ht="11.25" customHeight="1" hidden="1">
      <c r="A28" s="162">
        <v>8</v>
      </c>
      <c r="B28" s="159" t="s">
        <v>303</v>
      </c>
      <c r="C28" s="43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>
        <f t="shared" si="0"/>
        <v>0</v>
      </c>
      <c r="T28" s="159">
        <f t="shared" si="1"/>
        <v>0</v>
      </c>
      <c r="U28" s="159"/>
      <c r="V28" s="160">
        <f t="shared" si="2"/>
        <v>0</v>
      </c>
      <c r="W28" s="157">
        <f>57*C28-(S28-O28)</f>
        <v>0</v>
      </c>
      <c r="X28" s="157">
        <f>S28+U28+W28</f>
        <v>0</v>
      </c>
      <c r="Y28">
        <f t="shared" si="4"/>
        <v>0</v>
      </c>
      <c r="Z28">
        <f t="shared" si="5"/>
        <v>0</v>
      </c>
    </row>
    <row r="29" spans="1:26" ht="11.25" customHeight="1">
      <c r="A29" s="159"/>
      <c r="B29" s="159" t="s">
        <v>86</v>
      </c>
      <c r="C29" s="43">
        <f>SUM(C18:C28)</f>
        <v>6</v>
      </c>
      <c r="D29" s="163" t="e">
        <f>(S29-R29-Q29-O29-N29-M29-L29-K29-J29-I29-H29-G29-F29-E29)/C29</f>
        <v>#REF!</v>
      </c>
      <c r="E29" s="44">
        <f>SUM(E18:E28)</f>
        <v>0</v>
      </c>
      <c r="F29" s="44">
        <f aca="true" t="shared" si="6" ref="F29:Z29">SUM(F18:F28)</f>
        <v>0</v>
      </c>
      <c r="G29" s="44">
        <f t="shared" si="6"/>
        <v>0</v>
      </c>
      <c r="H29" s="44">
        <f t="shared" si="6"/>
        <v>0</v>
      </c>
      <c r="I29" s="44">
        <f t="shared" si="6"/>
        <v>0</v>
      </c>
      <c r="J29" s="44">
        <f t="shared" si="6"/>
        <v>0</v>
      </c>
      <c r="K29" s="44">
        <f t="shared" si="6"/>
        <v>0</v>
      </c>
      <c r="L29" s="44">
        <f t="shared" si="6"/>
        <v>0</v>
      </c>
      <c r="M29" s="44">
        <f t="shared" si="6"/>
        <v>0</v>
      </c>
      <c r="N29" s="44">
        <f t="shared" si="6"/>
        <v>0</v>
      </c>
      <c r="O29" s="44">
        <f t="shared" si="6"/>
        <v>0</v>
      </c>
      <c r="P29" s="44"/>
      <c r="Q29" s="44">
        <f t="shared" si="6"/>
        <v>0</v>
      </c>
      <c r="R29" s="44">
        <f t="shared" si="6"/>
        <v>0</v>
      </c>
      <c r="S29" s="44" t="e">
        <f t="shared" si="6"/>
        <v>#REF!</v>
      </c>
      <c r="T29" s="44" t="e">
        <f t="shared" si="6"/>
        <v>#REF!</v>
      </c>
      <c r="U29" s="164" t="e">
        <f t="shared" si="6"/>
        <v>#REF!</v>
      </c>
      <c r="V29" s="44" t="e">
        <f t="shared" si="6"/>
        <v>#REF!</v>
      </c>
      <c r="W29" s="165">
        <f t="shared" si="6"/>
        <v>0</v>
      </c>
      <c r="X29" s="165" t="e">
        <f t="shared" si="6"/>
        <v>#REF!</v>
      </c>
      <c r="Y29" s="44" t="e">
        <f t="shared" si="6"/>
        <v>#REF!</v>
      </c>
      <c r="Z29" s="44" t="e">
        <f t="shared" si="6"/>
        <v>#REF!</v>
      </c>
    </row>
    <row r="30" spans="1:26" ht="12.75" customHeight="1">
      <c r="A30" s="159"/>
      <c r="B30" s="152" t="s">
        <v>262</v>
      </c>
      <c r="C30" s="43"/>
      <c r="D30" s="166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S30" s="167"/>
      <c r="W30" s="103"/>
      <c r="X30" s="103"/>
      <c r="Y30" s="22"/>
      <c r="Z30">
        <f t="shared" si="5"/>
        <v>0</v>
      </c>
    </row>
    <row r="31" spans="1:26" ht="14.25" customHeight="1">
      <c r="A31" s="13">
        <v>10</v>
      </c>
      <c r="B31" s="153" t="s">
        <v>262</v>
      </c>
      <c r="C31" s="163">
        <v>27.78</v>
      </c>
      <c r="D31" s="159">
        <f>('[1]НВК 2'!Q131+'[1]НВК 2'!R131+'[1]НВК 2'!S131)/'[1]ш2'!C27</f>
        <v>438.0083105110898</v>
      </c>
      <c r="E31" s="159">
        <f>'[1]НВК 2'!U131+'[1]НВК 2'!Y131+'[1]НВК 2'!Z131+'[1]НВК 2'!AE131+'[1]НВК 2'!AF131+'[1]НВК 2'!AG131+'[1]НВК 2'!AA131</f>
        <v>1639.052777777778</v>
      </c>
      <c r="F31" s="161">
        <f>'[1]НВК 2'!AJ131+'[1]НВК 2'!AL131</f>
        <v>28</v>
      </c>
      <c r="G31" s="161">
        <f>'[1]НВК 2'!AQ131</f>
        <v>1</v>
      </c>
      <c r="H31" s="159">
        <f>'[1]НВК 2'!AX131</f>
        <v>0</v>
      </c>
      <c r="I31" s="159">
        <f>'[1]НВК 2'!BG131</f>
        <v>0</v>
      </c>
      <c r="J31" s="159">
        <f>'[1]НВК 2'!AY131</f>
        <v>74.7</v>
      </c>
      <c r="K31" s="159">
        <f>'[1]НВК 2'!AZ131</f>
        <v>0</v>
      </c>
      <c r="L31" s="159"/>
      <c r="M31" s="159"/>
      <c r="N31" s="159"/>
      <c r="O31" s="159"/>
      <c r="P31" s="159"/>
      <c r="Q31" s="159">
        <f>'[1]НВК 2'!BP131</f>
        <v>0</v>
      </c>
      <c r="R31" s="159"/>
      <c r="S31" s="161">
        <f>SUM(E31:R31)+C31*D31+L31</f>
        <v>13910.623643775853</v>
      </c>
      <c r="T31" s="159">
        <f>S31*12</f>
        <v>166927.48372531025</v>
      </c>
      <c r="U31" s="159">
        <f>'[1]НВК 2'!BS131</f>
        <v>7683.1176000000005</v>
      </c>
      <c r="V31" s="160">
        <f>U31*12</f>
        <v>92197.4112</v>
      </c>
      <c r="W31" s="157"/>
      <c r="X31" s="157">
        <f>S31+U31+W31</f>
        <v>21593.741243775854</v>
      </c>
      <c r="Y31">
        <f>D31*C31</f>
        <v>12167.870865998075</v>
      </c>
      <c r="Z31">
        <f t="shared" si="5"/>
        <v>6083.935432999037</v>
      </c>
    </row>
    <row r="32" spans="1:24" ht="13.5" customHeight="1">
      <c r="A32" s="162"/>
      <c r="B32" s="159" t="s">
        <v>320</v>
      </c>
      <c r="C32" s="43">
        <v>0.5</v>
      </c>
      <c r="D32" s="159"/>
      <c r="E32" s="159"/>
      <c r="F32" s="168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61"/>
      <c r="T32" s="159"/>
      <c r="U32" s="161"/>
      <c r="V32" s="160"/>
      <c r="W32" s="157"/>
      <c r="X32" s="157"/>
    </row>
    <row r="33" spans="1:26" ht="13.5" customHeight="1">
      <c r="A33" s="162"/>
      <c r="B33" s="159" t="s">
        <v>86</v>
      </c>
      <c r="C33" s="166">
        <f>SUM(C31:C32)</f>
        <v>28.28</v>
      </c>
      <c r="D33" s="163">
        <f>(S33-R33-Q33-O33-N33-M33-L33-K33-J33-I33-H33-G33-F33-E33)/C33</f>
        <v>430.2641748938498</v>
      </c>
      <c r="E33" s="161">
        <f aca="true" t="shared" si="7" ref="E33:X33">SUM(E31:E32)</f>
        <v>1639.052777777778</v>
      </c>
      <c r="F33" s="161">
        <f t="shared" si="7"/>
        <v>28</v>
      </c>
      <c r="G33" s="161">
        <f t="shared" si="7"/>
        <v>1</v>
      </c>
      <c r="H33" s="161">
        <f t="shared" si="7"/>
        <v>0</v>
      </c>
      <c r="I33" s="161">
        <f t="shared" si="7"/>
        <v>0</v>
      </c>
      <c r="J33" s="161">
        <f t="shared" si="7"/>
        <v>74.7</v>
      </c>
      <c r="K33" s="161">
        <f t="shared" si="7"/>
        <v>0</v>
      </c>
      <c r="L33" s="161">
        <f t="shared" si="7"/>
        <v>0</v>
      </c>
      <c r="M33" s="161">
        <f t="shared" si="7"/>
        <v>0</v>
      </c>
      <c r="N33" s="161">
        <f t="shared" si="7"/>
        <v>0</v>
      </c>
      <c r="O33" s="161">
        <f t="shared" si="7"/>
        <v>0</v>
      </c>
      <c r="P33" s="161">
        <f t="shared" si="7"/>
        <v>0</v>
      </c>
      <c r="Q33" s="161">
        <f t="shared" si="7"/>
        <v>0</v>
      </c>
      <c r="R33" s="161">
        <f t="shared" si="7"/>
        <v>0</v>
      </c>
      <c r="S33" s="161">
        <f t="shared" si="7"/>
        <v>13910.623643775853</v>
      </c>
      <c r="T33" s="161">
        <f t="shared" si="7"/>
        <v>166927.48372531025</v>
      </c>
      <c r="U33" s="161">
        <f t="shared" si="7"/>
        <v>7683.1176000000005</v>
      </c>
      <c r="V33" s="161">
        <f t="shared" si="7"/>
        <v>92197.4112</v>
      </c>
      <c r="W33" s="169">
        <f t="shared" si="7"/>
        <v>0</v>
      </c>
      <c r="X33" s="169">
        <f t="shared" si="7"/>
        <v>21593.741243775854</v>
      </c>
      <c r="Y33" s="169">
        <f>SUM(Y31:Y32)</f>
        <v>12167.870865998075</v>
      </c>
      <c r="Z33" s="169">
        <f>SUM(Z31:Z32)</f>
        <v>6083.935432999037</v>
      </c>
    </row>
    <row r="34" spans="1:26" ht="13.5" customHeight="1">
      <c r="A34" s="162"/>
      <c r="B34" s="152" t="s">
        <v>264</v>
      </c>
      <c r="C34" s="166"/>
      <c r="D34" s="166"/>
      <c r="E34" s="161"/>
      <c r="F34" s="161"/>
      <c r="G34" s="161"/>
      <c r="H34" s="161"/>
      <c r="I34" s="161"/>
      <c r="J34" s="161"/>
      <c r="K34" s="161"/>
      <c r="L34" s="161"/>
      <c r="M34" s="170"/>
      <c r="N34" s="161"/>
      <c r="O34" s="161"/>
      <c r="P34" s="171"/>
      <c r="S34" s="167"/>
      <c r="W34" s="103"/>
      <c r="X34" s="103"/>
      <c r="Y34" s="22"/>
      <c r="Z34">
        <f t="shared" si="5"/>
        <v>0</v>
      </c>
    </row>
    <row r="35" spans="1:26" ht="11.25" customHeight="1" hidden="1">
      <c r="A35" s="154">
        <v>12</v>
      </c>
      <c r="B35" s="13" t="s">
        <v>265</v>
      </c>
      <c r="C35" s="43"/>
      <c r="D35" s="159" t="e">
        <f>'[1]НВК 2'!M32</f>
        <v>#REF!</v>
      </c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>
        <f>'[1]НВК 2'!BM32</f>
        <v>1</v>
      </c>
      <c r="Q35" s="159"/>
      <c r="R35" s="159"/>
      <c r="S35" s="159" t="e">
        <f aca="true" t="shared" si="8" ref="S35:S41">SUM(E35:R35)+C35*D35</f>
        <v>#REF!</v>
      </c>
      <c r="T35" s="159" t="e">
        <f aca="true" t="shared" si="9" ref="T35:T41">S35*12</f>
        <v>#REF!</v>
      </c>
      <c r="U35" s="159">
        <f>'[1]НВК 2'!BT32</f>
        <v>0</v>
      </c>
      <c r="V35" s="160">
        <f aca="true" t="shared" si="10" ref="V35:V41">U35*12</f>
        <v>0</v>
      </c>
      <c r="W35" s="157"/>
      <c r="X35" s="157" t="e">
        <f>S35+U35+W35</f>
        <v>#REF!</v>
      </c>
      <c r="Z35">
        <f t="shared" si="5"/>
        <v>0</v>
      </c>
    </row>
    <row r="36" spans="1:26" ht="14.25" customHeight="1">
      <c r="A36" s="154">
        <v>1</v>
      </c>
      <c r="B36" s="13" t="s">
        <v>321</v>
      </c>
      <c r="C36" s="43">
        <v>1</v>
      </c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>
        <f t="shared" si="8"/>
        <v>0</v>
      </c>
      <c r="T36" s="159">
        <f t="shared" si="9"/>
        <v>0</v>
      </c>
      <c r="U36" s="159"/>
      <c r="V36" s="160">
        <f t="shared" si="10"/>
        <v>0</v>
      </c>
      <c r="W36" s="157"/>
      <c r="X36" s="157">
        <f aca="true" t="shared" si="11" ref="X36:X41">S36+U36+W36</f>
        <v>0</v>
      </c>
      <c r="Z36">
        <f t="shared" si="5"/>
        <v>0</v>
      </c>
    </row>
    <row r="37" spans="1:24" ht="1.5" customHeight="1" hidden="1">
      <c r="A37" s="154"/>
      <c r="B37" s="13"/>
      <c r="C37" s="43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60"/>
      <c r="W37" s="157"/>
      <c r="X37" s="157"/>
    </row>
    <row r="38" spans="1:26" ht="15.75" customHeight="1">
      <c r="A38" s="154">
        <v>14</v>
      </c>
      <c r="B38" s="13" t="s">
        <v>302</v>
      </c>
      <c r="C38" s="43">
        <v>1</v>
      </c>
      <c r="D38" s="159"/>
      <c r="E38" s="159"/>
      <c r="F38" s="159"/>
      <c r="G38" s="159"/>
      <c r="H38" s="159"/>
      <c r="I38" s="159"/>
      <c r="J38" s="159"/>
      <c r="K38" s="159"/>
      <c r="L38" s="159"/>
      <c r="M38" s="159">
        <f>C38*D38*0.1</f>
        <v>0</v>
      </c>
      <c r="N38" s="159"/>
      <c r="O38" s="159"/>
      <c r="P38" s="159"/>
      <c r="Q38" s="159"/>
      <c r="R38" s="159"/>
      <c r="S38" s="159">
        <f t="shared" si="8"/>
        <v>0</v>
      </c>
      <c r="T38" s="159">
        <f t="shared" si="9"/>
        <v>0</v>
      </c>
      <c r="U38" s="159"/>
      <c r="V38" s="160">
        <f t="shared" si="10"/>
        <v>0</v>
      </c>
      <c r="W38" s="157">
        <f>237*C38-(S38-O38)</f>
        <v>237</v>
      </c>
      <c r="X38" s="157">
        <f t="shared" si="11"/>
        <v>237</v>
      </c>
      <c r="Z38">
        <f t="shared" si="5"/>
        <v>0</v>
      </c>
    </row>
    <row r="39" spans="1:26" ht="13.5" customHeight="1">
      <c r="A39" s="154">
        <v>15</v>
      </c>
      <c r="B39" s="13" t="s">
        <v>268</v>
      </c>
      <c r="C39" s="43">
        <v>0.5</v>
      </c>
      <c r="D39" s="43">
        <v>315</v>
      </c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>
        <f>D39*0.071</f>
        <v>22.365</v>
      </c>
      <c r="P39" s="159"/>
      <c r="Q39" s="159"/>
      <c r="R39" s="159"/>
      <c r="S39" s="159">
        <f t="shared" si="8"/>
        <v>179.865</v>
      </c>
      <c r="T39" s="159">
        <f t="shared" si="9"/>
        <v>2158.38</v>
      </c>
      <c r="U39" s="159"/>
      <c r="V39" s="160">
        <f t="shared" si="10"/>
        <v>0</v>
      </c>
      <c r="W39" s="157"/>
      <c r="X39" s="157">
        <f t="shared" si="11"/>
        <v>179.865</v>
      </c>
      <c r="Z39">
        <f t="shared" si="5"/>
        <v>0</v>
      </c>
    </row>
    <row r="40" spans="1:26" ht="13.5" customHeight="1">
      <c r="A40" s="154">
        <v>16</v>
      </c>
      <c r="B40" s="13" t="s">
        <v>269</v>
      </c>
      <c r="C40" s="43">
        <v>1</v>
      </c>
      <c r="D40" s="43">
        <v>315</v>
      </c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>
        <f t="shared" si="8"/>
        <v>315</v>
      </c>
      <c r="T40" s="159">
        <f t="shared" si="9"/>
        <v>3780</v>
      </c>
      <c r="U40" s="159"/>
      <c r="V40" s="160">
        <f t="shared" si="10"/>
        <v>0</v>
      </c>
      <c r="W40" s="157"/>
      <c r="X40" s="157">
        <f t="shared" si="11"/>
        <v>315</v>
      </c>
      <c r="Z40">
        <f t="shared" si="5"/>
        <v>0</v>
      </c>
    </row>
    <row r="41" spans="1:26" ht="3" customHeight="1">
      <c r="A41" s="162">
        <v>21</v>
      </c>
      <c r="B41" s="159" t="s">
        <v>270</v>
      </c>
      <c r="C41" s="43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>
        <f t="shared" si="8"/>
        <v>0</v>
      </c>
      <c r="T41" s="159">
        <f t="shared" si="9"/>
        <v>0</v>
      </c>
      <c r="U41" s="159"/>
      <c r="V41" s="160">
        <f t="shared" si="10"/>
        <v>0</v>
      </c>
      <c r="X41" s="157">
        <f t="shared" si="11"/>
        <v>0</v>
      </c>
      <c r="Z41">
        <f t="shared" si="5"/>
        <v>0</v>
      </c>
    </row>
    <row r="42" spans="1:24" s="103" customFormat="1" ht="1.5" customHeight="1" hidden="1">
      <c r="A42" s="172"/>
      <c r="B42" s="153"/>
      <c r="C42" s="157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73"/>
      <c r="W42" s="111"/>
      <c r="X42" s="157"/>
    </row>
    <row r="43" spans="1:26" ht="11.25" customHeight="1">
      <c r="A43" s="159"/>
      <c r="B43" s="159" t="s">
        <v>86</v>
      </c>
      <c r="C43" s="43">
        <f>SUM(C35:C42)</f>
        <v>3.5</v>
      </c>
      <c r="D43" s="238" t="e">
        <f>(S43-R43-Q43-O43-N43-M43-L43-K43-J43-I43-H43-G43-F43-E43)/C43</f>
        <v>#REF!</v>
      </c>
      <c r="E43" s="22">
        <f aca="true" t="shared" si="12" ref="E43:Z43">SUM(E35:E42)</f>
        <v>0</v>
      </c>
      <c r="F43" s="22">
        <f t="shared" si="12"/>
        <v>0</v>
      </c>
      <c r="G43" s="22">
        <f t="shared" si="12"/>
        <v>0</v>
      </c>
      <c r="H43" s="22">
        <f t="shared" si="12"/>
        <v>0</v>
      </c>
      <c r="I43" s="22">
        <f t="shared" si="12"/>
        <v>0</v>
      </c>
      <c r="J43" s="22">
        <f t="shared" si="12"/>
        <v>0</v>
      </c>
      <c r="K43" s="22">
        <f t="shared" si="12"/>
        <v>0</v>
      </c>
      <c r="L43" s="22">
        <f t="shared" si="12"/>
        <v>0</v>
      </c>
      <c r="M43" s="22">
        <f t="shared" si="12"/>
        <v>0</v>
      </c>
      <c r="N43" s="22">
        <f t="shared" si="12"/>
        <v>0</v>
      </c>
      <c r="O43" s="22">
        <f t="shared" si="12"/>
        <v>22.365</v>
      </c>
      <c r="Q43" s="22">
        <f t="shared" si="12"/>
        <v>0</v>
      </c>
      <c r="R43" s="22">
        <f t="shared" si="12"/>
        <v>0</v>
      </c>
      <c r="S43" s="22" t="e">
        <f t="shared" si="12"/>
        <v>#REF!</v>
      </c>
      <c r="T43" s="22" t="e">
        <f t="shared" si="12"/>
        <v>#REF!</v>
      </c>
      <c r="U43" s="22">
        <f t="shared" si="12"/>
        <v>0</v>
      </c>
      <c r="V43" s="22">
        <f t="shared" si="12"/>
        <v>0</v>
      </c>
      <c r="W43" s="103">
        <f t="shared" si="12"/>
        <v>237</v>
      </c>
      <c r="X43" s="103" t="e">
        <f t="shared" si="12"/>
        <v>#REF!</v>
      </c>
      <c r="Y43" s="22">
        <f t="shared" si="12"/>
        <v>0</v>
      </c>
      <c r="Z43" s="22">
        <f t="shared" si="12"/>
        <v>0</v>
      </c>
    </row>
    <row r="44" spans="1:26" ht="15.75" customHeight="1">
      <c r="A44" s="159"/>
      <c r="B44" s="152" t="s">
        <v>272</v>
      </c>
      <c r="C44" s="43"/>
      <c r="X44" s="103"/>
      <c r="Y44" s="22"/>
      <c r="Z44">
        <f t="shared" si="5"/>
        <v>0</v>
      </c>
    </row>
    <row r="45" spans="1:26" ht="11.25" customHeight="1">
      <c r="A45" s="154">
        <v>18</v>
      </c>
      <c r="B45" s="174" t="s">
        <v>273</v>
      </c>
      <c r="C45" s="157">
        <v>7</v>
      </c>
      <c r="D45" s="43">
        <v>299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>
        <f>C45*D45*0.1</f>
        <v>209.3</v>
      </c>
      <c r="P45" s="159"/>
      <c r="Q45" s="159"/>
      <c r="R45" s="159"/>
      <c r="S45" s="159">
        <f>SUM(E45:R45)+C45*D45</f>
        <v>2302.3</v>
      </c>
      <c r="T45" s="159">
        <f>S45*12</f>
        <v>27627.600000000002</v>
      </c>
      <c r="U45" s="159"/>
      <c r="V45" s="160">
        <f>U45*12</f>
        <v>0</v>
      </c>
      <c r="W45" s="157">
        <f>310*C45-(S45-O45)</f>
        <v>77</v>
      </c>
      <c r="X45" s="157">
        <f>S45+U45+W45</f>
        <v>2379.3</v>
      </c>
      <c r="Z45">
        <f t="shared" si="5"/>
        <v>0</v>
      </c>
    </row>
    <row r="46" spans="1:24" ht="1.5" customHeight="1" hidden="1">
      <c r="A46" s="154"/>
      <c r="B46" s="13"/>
      <c r="C46" s="43"/>
      <c r="D46" s="43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60"/>
      <c r="W46" s="157"/>
      <c r="X46" s="157"/>
    </row>
    <row r="47" spans="1:26" ht="13.5" customHeight="1">
      <c r="A47" s="154">
        <v>20</v>
      </c>
      <c r="B47" s="13" t="s">
        <v>275</v>
      </c>
      <c r="C47" s="43">
        <v>1.25</v>
      </c>
      <c r="D47" s="43">
        <v>299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>
        <f>SUM(E47:R47)+C47*D47</f>
        <v>373.75</v>
      </c>
      <c r="T47" s="159">
        <f>S47*12</f>
        <v>4485</v>
      </c>
      <c r="U47" s="159"/>
      <c r="V47" s="160">
        <f>U47*12</f>
        <v>0</v>
      </c>
      <c r="W47" s="157">
        <f>310*C47-(S47-O47)</f>
        <v>13.75</v>
      </c>
      <c r="X47" s="157">
        <f>S47+U47+W47</f>
        <v>387.5</v>
      </c>
      <c r="Z47">
        <f t="shared" si="5"/>
        <v>0</v>
      </c>
    </row>
    <row r="48" spans="1:26" ht="14.25" customHeight="1">
      <c r="A48" s="154">
        <v>21</v>
      </c>
      <c r="B48" s="175" t="s">
        <v>276</v>
      </c>
      <c r="C48" s="43">
        <v>2</v>
      </c>
      <c r="D48" s="43">
        <v>320</v>
      </c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>
        <f>SUM(E48:R48)+C48*D48</f>
        <v>640</v>
      </c>
      <c r="T48" s="159">
        <f>S48*12</f>
        <v>7680</v>
      </c>
      <c r="U48" s="159"/>
      <c r="V48" s="160">
        <f>U48*12</f>
        <v>0</v>
      </c>
      <c r="W48" s="157"/>
      <c r="X48" s="157">
        <f>S48+U48+W48</f>
        <v>640</v>
      </c>
      <c r="Z48">
        <f t="shared" si="5"/>
        <v>0</v>
      </c>
    </row>
    <row r="49" spans="1:26" ht="14.25" customHeight="1">
      <c r="A49" s="159">
        <v>22</v>
      </c>
      <c r="B49" s="159" t="s">
        <v>277</v>
      </c>
      <c r="C49" s="43">
        <v>6</v>
      </c>
      <c r="D49" s="43">
        <v>299</v>
      </c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>
        <f>152.62*2</f>
        <v>305.24</v>
      </c>
      <c r="S49" s="159">
        <f>SUM(E49:R49)+C49*D49</f>
        <v>2099.24</v>
      </c>
      <c r="T49" s="159">
        <f>S49*12</f>
        <v>25190.879999999997</v>
      </c>
      <c r="U49" s="159"/>
      <c r="V49" s="160">
        <f>U49*12</f>
        <v>0</v>
      </c>
      <c r="W49" s="157"/>
      <c r="X49" s="157">
        <f>S49+U49+W49</f>
        <v>2099.24</v>
      </c>
      <c r="Z49">
        <f t="shared" si="5"/>
        <v>0</v>
      </c>
    </row>
    <row r="50" spans="1:26" ht="11.25" customHeight="1" hidden="1">
      <c r="A50" s="159">
        <v>2</v>
      </c>
      <c r="B50" s="176" t="s">
        <v>278</v>
      </c>
      <c r="C50" s="43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>
        <f>C50*D50*0.12</f>
        <v>0</v>
      </c>
      <c r="P50" s="159"/>
      <c r="Q50" s="159"/>
      <c r="R50" s="159"/>
      <c r="S50" s="159">
        <f>SUM(E50:R50)+C50*D50</f>
        <v>0</v>
      </c>
      <c r="T50" s="159">
        <f>1*D50*1.12*6+S50*6</f>
        <v>0</v>
      </c>
      <c r="U50" s="159"/>
      <c r="V50" s="160">
        <f>U50*12</f>
        <v>0</v>
      </c>
      <c r="W50" s="157">
        <f>310*C50-(S50-O50)</f>
        <v>0</v>
      </c>
      <c r="X50" s="157">
        <f>S50+U50+W50</f>
        <v>0</v>
      </c>
      <c r="Z50">
        <f t="shared" si="5"/>
        <v>0</v>
      </c>
    </row>
    <row r="51" spans="1:24" ht="10.5" customHeight="1">
      <c r="A51" s="159"/>
      <c r="B51" s="159"/>
      <c r="C51" s="43"/>
      <c r="D51" s="43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60"/>
      <c r="W51" s="157"/>
      <c r="X51" s="157"/>
    </row>
    <row r="52" spans="1:24" ht="11.25" customHeight="1" hidden="1">
      <c r="A52" s="159"/>
      <c r="B52" s="159"/>
      <c r="C52" s="43"/>
      <c r="D52" s="43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60"/>
      <c r="W52" s="157"/>
      <c r="X52" s="157"/>
    </row>
    <row r="53" spans="1:24" ht="11.25" customHeight="1" hidden="1">
      <c r="A53" s="159"/>
      <c r="B53" s="159"/>
      <c r="C53" s="43"/>
      <c r="D53" s="43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60"/>
      <c r="W53" s="157"/>
      <c r="X53" s="157"/>
    </row>
    <row r="54" spans="1:24" ht="11.25" customHeight="1" hidden="1">
      <c r="A54" s="159"/>
      <c r="B54" s="159"/>
      <c r="C54" s="43"/>
      <c r="D54" s="43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60"/>
      <c r="W54" s="157"/>
      <c r="X54" s="157"/>
    </row>
    <row r="55" spans="1:24" ht="11.25" customHeight="1" hidden="1">
      <c r="A55" s="159"/>
      <c r="B55" s="176"/>
      <c r="C55" s="43"/>
      <c r="D55" s="43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60"/>
      <c r="W55" s="157"/>
      <c r="X55" s="157"/>
    </row>
    <row r="56" spans="1:24" ht="11.25" customHeight="1" hidden="1">
      <c r="A56" s="159"/>
      <c r="B56" s="159"/>
      <c r="C56" s="43"/>
      <c r="D56" s="43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60"/>
      <c r="W56" s="157"/>
      <c r="X56" s="157"/>
    </row>
    <row r="57" spans="1:24" ht="11.25" customHeight="1" hidden="1">
      <c r="A57" s="159"/>
      <c r="B57" s="159"/>
      <c r="C57" s="43"/>
      <c r="D57" s="43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60"/>
      <c r="W57" s="157"/>
      <c r="X57" s="157"/>
    </row>
    <row r="58" spans="1:24" ht="11.25" customHeight="1" hidden="1">
      <c r="A58" s="159"/>
      <c r="B58" s="159"/>
      <c r="C58" s="43"/>
      <c r="D58" s="4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165"/>
      <c r="X58" s="165"/>
    </row>
    <row r="59" spans="1:26" ht="13.5" customHeight="1" thickBot="1">
      <c r="A59" s="159"/>
      <c r="B59" s="159" t="s">
        <v>86</v>
      </c>
      <c r="C59" s="43">
        <f>SUM(C45:C58)</f>
        <v>16.25</v>
      </c>
      <c r="D59" s="163">
        <f>(S59-R59-Q59-O59-N59-M59-L59-K59-J59-I59-H59-G59-F59-E59)/C59</f>
        <v>301.5846153846154</v>
      </c>
      <c r="E59" s="22">
        <f aca="true" t="shared" si="13" ref="E59:Z59">SUM(E45:E57)</f>
        <v>0</v>
      </c>
      <c r="F59" s="22">
        <f t="shared" si="13"/>
        <v>0</v>
      </c>
      <c r="G59" s="22">
        <f t="shared" si="13"/>
        <v>0</v>
      </c>
      <c r="H59" s="22">
        <f t="shared" si="13"/>
        <v>0</v>
      </c>
      <c r="I59" s="22">
        <f t="shared" si="13"/>
        <v>0</v>
      </c>
      <c r="J59" s="22">
        <f t="shared" si="13"/>
        <v>0</v>
      </c>
      <c r="K59" s="22">
        <f t="shared" si="13"/>
        <v>0</v>
      </c>
      <c r="L59" s="22">
        <f t="shared" si="13"/>
        <v>0</v>
      </c>
      <c r="M59" s="22">
        <f t="shared" si="13"/>
        <v>0</v>
      </c>
      <c r="N59" s="22">
        <f t="shared" si="13"/>
        <v>0</v>
      </c>
      <c r="O59" s="22">
        <f t="shared" si="13"/>
        <v>209.3</v>
      </c>
      <c r="Q59" s="22">
        <f t="shared" si="13"/>
        <v>0</v>
      </c>
      <c r="R59" s="22">
        <f t="shared" si="13"/>
        <v>305.24</v>
      </c>
      <c r="S59" s="22">
        <f t="shared" si="13"/>
        <v>5415.29</v>
      </c>
      <c r="T59" s="22">
        <f t="shared" si="13"/>
        <v>64983.48</v>
      </c>
      <c r="U59" s="22">
        <f t="shared" si="13"/>
        <v>0</v>
      </c>
      <c r="V59" s="22">
        <f t="shared" si="13"/>
        <v>0</v>
      </c>
      <c r="W59" s="103">
        <f t="shared" si="13"/>
        <v>90.75</v>
      </c>
      <c r="X59" s="103">
        <f t="shared" si="13"/>
        <v>5506.04</v>
      </c>
      <c r="Y59" s="22">
        <f t="shared" si="13"/>
        <v>0</v>
      </c>
      <c r="Z59" s="22">
        <f t="shared" si="13"/>
        <v>0</v>
      </c>
    </row>
    <row r="60" spans="1:26" ht="16.5" customHeight="1" thickBot="1">
      <c r="A60" s="141"/>
      <c r="B60" s="146" t="s">
        <v>41</v>
      </c>
      <c r="C60" s="239">
        <f>C59+C43+C33+C29</f>
        <v>54.03</v>
      </c>
      <c r="D60" s="180" t="e">
        <f>(S60-R60-Q60-O60-N60-M60-L60-K60-J60-I60-H60-G60-F60-E60)/C60</f>
        <v>#REF!</v>
      </c>
      <c r="E60" s="179">
        <f aca="true" t="shared" si="14" ref="E60:X60">E59+E43+E33+E29</f>
        <v>1639.052777777778</v>
      </c>
      <c r="F60" s="181">
        <f t="shared" si="14"/>
        <v>28</v>
      </c>
      <c r="G60" s="179">
        <f t="shared" si="14"/>
        <v>1</v>
      </c>
      <c r="H60" s="179">
        <f t="shared" si="14"/>
        <v>0</v>
      </c>
      <c r="I60" s="179">
        <f t="shared" si="14"/>
        <v>0</v>
      </c>
      <c r="J60" s="179">
        <f t="shared" si="14"/>
        <v>74.7</v>
      </c>
      <c r="K60" s="179">
        <f t="shared" si="14"/>
        <v>0</v>
      </c>
      <c r="L60" s="179">
        <f t="shared" si="14"/>
        <v>0</v>
      </c>
      <c r="M60" s="179">
        <f t="shared" si="14"/>
        <v>0</v>
      </c>
      <c r="N60" s="179">
        <f t="shared" si="14"/>
        <v>0</v>
      </c>
      <c r="O60" s="179">
        <f t="shared" si="14"/>
        <v>231.66500000000002</v>
      </c>
      <c r="P60" s="179"/>
      <c r="Q60" s="179">
        <f t="shared" si="14"/>
        <v>0</v>
      </c>
      <c r="R60" s="179">
        <f t="shared" si="14"/>
        <v>305.24</v>
      </c>
      <c r="S60" s="179" t="e">
        <f t="shared" si="14"/>
        <v>#REF!</v>
      </c>
      <c r="T60" s="179" t="e">
        <f t="shared" si="14"/>
        <v>#REF!</v>
      </c>
      <c r="U60" s="179" t="e">
        <f t="shared" si="14"/>
        <v>#REF!</v>
      </c>
      <c r="V60" s="179" t="e">
        <f t="shared" si="14"/>
        <v>#REF!</v>
      </c>
      <c r="W60" s="182">
        <f t="shared" si="14"/>
        <v>327.75</v>
      </c>
      <c r="X60" s="182" t="e">
        <f t="shared" si="14"/>
        <v>#REF!</v>
      </c>
      <c r="Y60" s="182" t="e">
        <f>Y59+Y43+Y33+Y29</f>
        <v>#REF!</v>
      </c>
      <c r="Z60" s="182" t="e">
        <f>Z59+Z43+Z33+Z29</f>
        <v>#REF!</v>
      </c>
    </row>
    <row r="61" spans="19:24" ht="11.25" customHeight="1">
      <c r="S61" s="103"/>
      <c r="W61" s="103"/>
      <c r="X61" s="103"/>
    </row>
    <row r="63" ht="11.25" customHeight="1"/>
    <row r="64" spans="1:19" ht="12.75" hidden="1">
      <c r="A64" s="22" t="s">
        <v>165</v>
      </c>
      <c r="C64" s="22" t="s">
        <v>292</v>
      </c>
      <c r="H64" s="22" t="s">
        <v>285</v>
      </c>
      <c r="S64" s="167"/>
    </row>
    <row r="65" spans="1:24" ht="12.75" hidden="1">
      <c r="A65" s="22" t="s">
        <v>194</v>
      </c>
      <c r="C65" s="22" t="s">
        <v>195</v>
      </c>
      <c r="H65" s="22" t="s">
        <v>286</v>
      </c>
      <c r="S65" s="167"/>
      <c r="X65" s="103"/>
    </row>
    <row r="66" spans="1:11" s="1" customFormat="1" ht="12.75" customHeight="1">
      <c r="A66" s="104" t="s">
        <v>305</v>
      </c>
      <c r="E66" s="104"/>
      <c r="K66"/>
    </row>
    <row r="67" spans="1:11" s="1" customFormat="1" ht="12.75" customHeight="1">
      <c r="A67" s="1" t="s">
        <v>189</v>
      </c>
      <c r="C67" s="104" t="s">
        <v>332</v>
      </c>
      <c r="D67" s="104"/>
      <c r="E67" s="22"/>
      <c r="K67"/>
    </row>
  </sheetData>
  <printOptions/>
  <pageMargins left="1.35" right="0.16" top="1.85" bottom="0.17" header="2.02" footer="0.5"/>
  <pageSetup horizontalDpi="600" verticalDpi="600" orientation="portrait" paperSize="9" scale="87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2" sqref="B2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фф</dc:creator>
  <cp:keywords/>
  <dc:description/>
  <cp:lastModifiedBy>vd-zag1</cp:lastModifiedBy>
  <cp:lastPrinted>2011-07-18T07:48:11Z</cp:lastPrinted>
  <dcterms:created xsi:type="dcterms:W3CDTF">2002-08-30T08:16:50Z</dcterms:created>
  <dcterms:modified xsi:type="dcterms:W3CDTF">2011-07-27T12:49:32Z</dcterms:modified>
  <cp:category/>
  <cp:version/>
  <cp:contentType/>
  <cp:contentStatus/>
</cp:coreProperties>
</file>