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4"/>
  </bookViews>
  <sheets>
    <sheet name="додаток1" sheetId="1" r:id="rId1"/>
    <sheet name="додаток2" sheetId="2" r:id="rId2"/>
    <sheet name="додаток 3" sheetId="3" r:id="rId3"/>
    <sheet name="додаток 4 " sheetId="4" r:id="rId4"/>
    <sheet name="додаток 5" sheetId="5" r:id="rId5"/>
  </sheets>
  <definedNames>
    <definedName name="_xlnm.Print_Titles" localSheetId="2">'додаток 3'!$A:$D,'додаток 3'!$15:$20</definedName>
    <definedName name="_xlnm.Print_Titles" localSheetId="3">'додаток 4 '!$17:$22</definedName>
    <definedName name="_xlnm.Print_Titles" localSheetId="4">'додаток 5'!$17:$25</definedName>
    <definedName name="_xlnm.Print_Titles" localSheetId="0">'додаток1'!$17:$21</definedName>
    <definedName name="_xlnm.Print_Area" localSheetId="0">'додаток1'!$A$1:$F$40</definedName>
  </definedNames>
  <calcPr fullCalcOnLoad="1"/>
</workbook>
</file>

<file path=xl/sharedStrings.xml><?xml version="1.0" encoding="utf-8"?>
<sst xmlns="http://schemas.openxmlformats.org/spreadsheetml/2006/main" count="686" uniqueCount="312">
  <si>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</si>
  <si>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</si>
  <si>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</si>
  <si>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</si>
  <si>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</si>
  <si>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</si>
  <si>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</si>
  <si>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</si>
  <si>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</si>
  <si>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</si>
  <si>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</si>
  <si>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</si>
  <si>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</si>
  <si>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</si>
  <si>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</si>
  <si>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</si>
  <si>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</si>
  <si>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</si>
  <si>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</si>
  <si>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</si>
  <si>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</si>
  <si>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</si>
  <si>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</si>
  <si>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</si>
  <si>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0212010</t>
  </si>
  <si>
    <t>2010</t>
  </si>
  <si>
    <t>0731</t>
  </si>
  <si>
    <t>Багатопрофільна стаціонарна медична допомога населенню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</si>
  <si>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</si>
  <si>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</si>
  <si>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0212111</t>
  </si>
  <si>
    <t>2111</t>
  </si>
  <si>
    <t>0726</t>
  </si>
  <si>
    <t>0620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</si>
  <si>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</si>
  <si>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</si>
  <si>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</si>
  <si>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</si>
  <si>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</si>
  <si>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6030</t>
  </si>
  <si>
    <t>Організація благоустрою населених пунктів</t>
  </si>
  <si>
    <t>0640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</si>
  <si>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</si>
  <si>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</si>
  <si>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</si>
  <si>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</si>
  <si>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</si>
  <si>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</si>
  <si>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</si>
  <si>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7693</t>
  </si>
  <si>
    <t>0218210</t>
  </si>
  <si>
    <t>8210</t>
  </si>
  <si>
    <t>0380</t>
  </si>
  <si>
    <t>Муніципальні формування з охорони громадського порядку</t>
  </si>
  <si>
    <t>7330</t>
  </si>
  <si>
    <t>7310</t>
  </si>
  <si>
    <t>Будівництво об"єктів житлово-комунального господарства</t>
  </si>
  <si>
    <t>0216015</t>
  </si>
  <si>
    <t>6015</t>
  </si>
  <si>
    <t>Забезпечення надійної та безперебійної експлуатації ліфтів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</si>
  <si>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</si>
  <si>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</si>
  <si>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</si>
  <si>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</si>
  <si>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</si>
  <si>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</si>
  <si>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0217330</t>
  </si>
  <si>
    <t>Будівництво інших об"єктів комунальної власності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</si>
  <si>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</si>
  <si>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</si>
  <si>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</si>
  <si>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утримання архівного відділу Новокаховської міської ради</t>
  </si>
  <si>
    <t>0180</t>
  </si>
  <si>
    <t>0610000</t>
  </si>
  <si>
    <t>Відділ освіти  Новокаховської міської ради</t>
  </si>
  <si>
    <t>0160</t>
  </si>
  <si>
    <t>0611010</t>
  </si>
  <si>
    <t>1010</t>
  </si>
  <si>
    <t>0910</t>
  </si>
  <si>
    <t>Надання дошкільної освіти</t>
  </si>
  <si>
    <t>0921</t>
  </si>
  <si>
    <t>0960</t>
  </si>
  <si>
    <t>5031</t>
  </si>
  <si>
    <t>0810</t>
  </si>
  <si>
    <t>Утримання та навчально-тренувальна робота комунальних дитячо-юнацьких спортивних шкіл</t>
  </si>
  <si>
    <t>0810000</t>
  </si>
  <si>
    <t>Управління праці та соціального захисту населення Новокаховської міської ради</t>
  </si>
  <si>
    <t>Інші заходи, пов'язані з економічною діяльністю</t>
  </si>
  <si>
    <t>1010000</t>
  </si>
  <si>
    <t>Відділ культури і туризму Новокаховської міської ради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</si>
  <si>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</si>
  <si>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</si>
  <si>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</si>
  <si>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</si>
  <si>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</si>
  <si>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</si>
  <si>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</si>
  <si>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</si>
  <si>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</si>
  <si>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</si>
  <si>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</si>
  <si>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</si>
  <si>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</si>
  <si>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</si>
  <si>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</si>
  <si>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</si>
  <si>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</si>
  <si>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1110000</t>
  </si>
  <si>
    <t>Відділ у справах сім'ї, молоді, фізичної культури та спорту Новокаховської міської ради</t>
  </si>
  <si>
    <t>1110160</t>
  </si>
  <si>
    <t>1115031</t>
  </si>
  <si>
    <t>1115062</t>
  </si>
  <si>
    <t>5062</t>
  </si>
  <si>
    <t>3010000</t>
  </si>
  <si>
    <t>Управління з питань надзвичайних ситуацій та цивільного захисту населення Новокаховської міської ради</t>
  </si>
  <si>
    <t>3017693</t>
  </si>
  <si>
    <t>3110000</t>
  </si>
  <si>
    <t>Управління комунального майна, інфраструктури старостинських округів Новокаховської міської ради</t>
  </si>
  <si>
    <t>3116014</t>
  </si>
  <si>
    <t>3116030</t>
  </si>
  <si>
    <t>3116040</t>
  </si>
  <si>
    <t>6040</t>
  </si>
  <si>
    <t>Заходи, пов'язані з поліпшенням питної води</t>
  </si>
  <si>
    <t>3117310</t>
  </si>
  <si>
    <t>3117330</t>
  </si>
  <si>
    <t>Будівництво інших об'єктів  комунальної власності</t>
  </si>
  <si>
    <t>3310000</t>
  </si>
  <si>
    <t>Відділ реєстрації Новокаховської міської ради</t>
  </si>
  <si>
    <t>3310160</t>
  </si>
  <si>
    <t>3710000</t>
  </si>
  <si>
    <t>Фінансове управління Новокаховської міської ради</t>
  </si>
  <si>
    <t>УСЬОГО</t>
  </si>
  <si>
    <t>0617361</t>
  </si>
  <si>
    <t>Інші заходи, пов"язані з економічною діяльністю</t>
  </si>
  <si>
    <t>(код бюджету)</t>
  </si>
  <si>
    <t>Х</t>
  </si>
  <si>
    <t>0600000</t>
  </si>
  <si>
    <t>0800000</t>
  </si>
  <si>
    <t>1000000</t>
  </si>
  <si>
    <t>1100000</t>
  </si>
  <si>
    <t>3000000</t>
  </si>
  <si>
    <t>3100000</t>
  </si>
  <si>
    <t>3300000</t>
  </si>
  <si>
    <t>3700000</t>
  </si>
  <si>
    <t>Додаток 1</t>
  </si>
  <si>
    <t>Код</t>
  </si>
  <si>
    <t>Найменування згідно з Класифікацією доходів бюджету</t>
  </si>
  <si>
    <t>Усього</t>
  </si>
  <si>
    <t>Податкові надходження</t>
  </si>
  <si>
    <t>Неподаткові надходження</t>
  </si>
  <si>
    <t>Інші неподаткові надходження</t>
  </si>
  <si>
    <t>Доходи від операцій з кредитування та надання гарантій</t>
  </si>
  <si>
    <t>Усього доходів (без урахування міжбюджетних трансфертів)</t>
  </si>
  <si>
    <t>×</t>
  </si>
  <si>
    <t>Разом доходів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</si>
  <si>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</si>
  <si>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</si>
  <si>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</si>
  <si>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</si>
  <si>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</si>
  <si>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</si>
  <si>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</si>
  <si>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</si>
  <si>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</si>
  <si>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</si>
  <si>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</si>
  <si>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</si>
  <si>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</si>
  <si>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</si>
  <si>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</si>
  <si>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</si>
  <si>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</si>
  <si>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</si>
  <si>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</si>
  <si>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0217322</t>
  </si>
  <si>
    <t>7322</t>
  </si>
  <si>
    <t>Будівництво медичних установ та закладів</t>
  </si>
  <si>
    <t>Будівництво інших об'єктів комунальної власності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</si>
  <si>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</si>
  <si>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</si>
  <si>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</si>
  <si>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</si>
  <si>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</si>
  <si>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</si>
  <si>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</si>
  <si>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Програма фінансової підтримки підприємств комунальної власності міста Нова Каховка на 2020-2022 роки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</si>
  <si>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</si>
  <si>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</si>
  <si>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</si>
  <si>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Відділ освіти Новокаховської міської ради</t>
  </si>
  <si>
    <t xml:space="preserve">Програма розвитку освітньої галузі на 2020-2022 роки </t>
  </si>
  <si>
    <t xml:space="preserve">Пограма розвитку освітньої галузі на 2020-2022 роки </t>
  </si>
  <si>
    <t>Відділ  культури і туризму Новокаховської міської ради</t>
  </si>
  <si>
    <t>Реалізація програм і заходів в галузі туризму та курортів</t>
  </si>
  <si>
    <t>Програма розвитку фізичної культури та спорту на території Новокаховської міської територіальної громади на 2020-2022 роки</t>
  </si>
  <si>
    <t>Підтримка  спорту вищих досягнень  та організацій, які  здійснюють  фізкультурно-спортивну діяльність в регіоні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</si>
  <si>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</si>
  <si>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Програма розвитку інфраструктури старостинських округів Новокаховської міської територіальної громади на 2021 рік</t>
  </si>
  <si>
    <t>Програма територіальної оборони Новокаховської територіальної громади на 2020-2022 роки</t>
  </si>
  <si>
    <t>2018-2021</t>
  </si>
  <si>
    <t>Додаток 3</t>
  </si>
  <si>
    <t>субвенція з Таврійська</t>
  </si>
  <si>
    <t>Капітальний ремонт нежитлової будівлі по вул. Історична (Леніна), 13</t>
  </si>
  <si>
    <t>Будівництво Центру надання адміністративних послуг м. Нова Каховка, Херсонської області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</si>
  <si>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</si>
  <si>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</si>
  <si>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>1021</t>
  </si>
  <si>
    <t xml:space="preserve">Надання загальної середньої освіти закладами загальної середньої освіти </t>
  </si>
  <si>
    <t>1011080</t>
  </si>
  <si>
    <t>1080</t>
  </si>
  <si>
    <t>додаткова дотація</t>
  </si>
  <si>
    <t>Первинна медична допомога населенню, що надається центрами первинної медичної  (медико-санітарної) допомоги</t>
  </si>
  <si>
    <t>7340</t>
  </si>
  <si>
    <t>Проектування, реставрація та охорона пам"яток архітектури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</si>
  <si>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</si>
  <si>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</si>
  <si>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</si>
  <si>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</t>
  </si>
  <si>
    <t>Програма економічного, соціального та культурного розвитку міста Нова Каховка на 2021 рік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</si>
  <si>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</si>
  <si>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</si>
  <si>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Рішення Новокаховської міської ради  від 12.12.2019 р.        № 2418                 (зі змінами)</t>
  </si>
  <si>
    <t>Цільова  Програма розвитку культури і туризму Новокаховської міської територіальної громади на  2020-2022 роки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</si>
  <si>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</si>
  <si>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2020-2021</t>
  </si>
  <si>
    <t>Реконструкція існуючої будівлі під дитячий садок по вул. Монастирська, 50 в с. Корсунка, м. Нова Каховка, Херсонської області</t>
  </si>
  <si>
    <t xml:space="preserve">Рентна плата за користування надрами загальнодержавного значення </t>
  </si>
  <si>
    <t xml:space="preserve">Рентна плата за користування надрами для видобування інших копалин загальнодержавного значення 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</si>
  <si>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</si>
  <si>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</si>
  <si>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1017324</t>
  </si>
  <si>
    <t>7324</t>
  </si>
  <si>
    <t>Будівництво  установ та закладів культури</t>
  </si>
  <si>
    <t>0817340</t>
  </si>
  <si>
    <t>0217340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</si>
  <si>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</si>
  <si>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</si>
  <si>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9800</t>
  </si>
  <si>
    <t>Проект рішення Новокаховської міської ради від ________2021р. № ____</t>
  </si>
  <si>
    <t>Капітальний ремонт будинку культури в с. Веселе за адресою: Херсонська область, Бериславський район, с. Веселе, вул. Наддніпрянська, буд.8 (проектні роботи)</t>
  </si>
  <si>
    <t>Капітальний ремонт з улаштування систем протипожежного захисту в КЗ "Новокаховська дитяча музична школа" (проектні роботи)</t>
  </si>
  <si>
    <t>Капітальний ремонт сантехнічних систем Обривського будинку культури</t>
  </si>
  <si>
    <t>Будівництво споруд з протиерозійного захисту по балці р. Дніпро в межах смт. Козацьке в районі перетину провулку Дніпровського та вул. Шевченко та облаштування джерела по пров. Дніпровському</t>
  </si>
  <si>
    <t>Реконструкція вуличного освітлення в с. Веселе по вул. Дорожна-Чайковського КТП №43 Бериславського району Херсонської області (проектні роботи)</t>
  </si>
  <si>
    <t>Реконструкція вуличного освітлення в с. Веселе по вул. Зарічна КТП №43 Бериславського району Херсонської області (проектні роботи)</t>
  </si>
  <si>
    <t>Реконструкція вуличного освітлення в с. Веселе по вул. Польова КТП №43 Бериславського району Херсонської області (проектні роботи)</t>
  </si>
  <si>
    <t>Реконструкція вуличного освітлення в с. Веселе по вул. Чайковського КТП №43 Бериславського району Херсонської області (проектні роботи)</t>
  </si>
  <si>
    <t>Реставраційні роботи нежитлової будівлі по вул. Історична, 52 (відновлення покрівлі та фасаду) (проектні роботи)</t>
  </si>
  <si>
    <t xml:space="preserve">Капітальний ремонт фасаду будівлі спортивної зали "Будівельник" </t>
  </si>
  <si>
    <t>Реконструкція приміщень дошкільного закладу під початкову школу гімназії №2 імені А.П. Бахути Новокаховської міської ради (проектні роботи)</t>
  </si>
  <si>
    <t>Капітальний ремонт амбулаторії загальної практики сімейної медицини №6 с. Веселе, вул. Наддніпрянська, 14</t>
  </si>
  <si>
    <t>Реставраційні роботи огорожі Літнього театру м. Нова Каховка</t>
  </si>
  <si>
    <t>Реставраційні роботи нежитлової будівлі по вул. Історична (Леніна), 13</t>
  </si>
  <si>
    <t>Будівництво боксів для автобусів з прибудовою адміністративно-побутового корпусу по вул. Французській в районі будівлі №8а в м. Нова Каховка Херсонської області</t>
  </si>
  <si>
    <t>Капітальний ремонт покриття тротуарів біля КП "Торгівельний центр" по  пр. Перемоги, 18 м. Нова Каховка</t>
  </si>
  <si>
    <t>Будівництво другої черги міського кладовища (проектні роботи)</t>
  </si>
  <si>
    <t>0217470</t>
  </si>
  <si>
    <t>7470</t>
  </si>
  <si>
    <t>Інша діяльність у сферів дорожнього господарства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</si>
  <si>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</si>
  <si>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</si>
  <si>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Місцеві податки</t>
  </si>
  <si>
    <t>Плата за гарантії, надані Верховною Радою Автономної Республіки Крим та міськими  радами</t>
  </si>
  <si>
    <t>Рішення Новокаховської міської ради від 24.12.2020 р.             № 169                       (зі змінами)</t>
  </si>
  <si>
    <t>Рішення Новокаховської міської ради від 17.12.2020 р.             № 154                         (зі змінами)</t>
  </si>
  <si>
    <t>Підтримка спорту вищих досягнень та організацій, які здійснюють  фізкультурно-спортивну діяльність в регіоні</t>
  </si>
  <si>
    <t>Будівництво Центру надання адміністративних послуг в м. Нова Каховка, Херсонської області (коригування проектно-кошторисної документації)</t>
  </si>
  <si>
    <t>Капітальний ремонт проїзної частини по вул. Горького в м. Нова Каховка Херсонської області (в межах вул. Дружби-вул.Індустріальна) (коригування проектно-кошторисної документації)</t>
  </si>
  <si>
    <t>Капітальний ремонт частини приміщень реанімаційного відділення на лікарняному комплексі №2 по вул. Светлова, 1</t>
  </si>
  <si>
    <t>Капітальний ремонт частини приміщень акушерського відділення на лікарняному комплексі №2 по вул. Светлова, 1</t>
  </si>
  <si>
    <t>Реконструкція відділення екстреної медичної допомоги на лікарняному комплексі №2 по вул. Светлова, 1 (коригування проектно-кошторисної документації)</t>
  </si>
  <si>
    <t>Капітальний ремонт огорожі Літнього театру м. Нова Каховка</t>
  </si>
  <si>
    <t>Програма "Нова Каховка - Безпечне  місто 2021-2023"</t>
  </si>
  <si>
    <t>Програма забезпечення діяльності аварійно-диспетчерської служби комунального підприємства "Новокаховське житлово-експлуатаційне управління" на 2021 - 2023 роки</t>
  </si>
  <si>
    <t>Капітальний ремонт нежитлової будівлі в с. Обривка по вул. Ювілейна, 27 (внутрішні роботи)</t>
  </si>
  <si>
    <t>Додаток 5</t>
  </si>
  <si>
    <t>Рішення Новокаховської міської ріди від 20.12.2018 р.                    № 1626                          (зі змінами)</t>
  </si>
  <si>
    <t>Рішення Новокаховської міської ради  від 12.12.2019 р.                № 2418                    (зі змінами)</t>
  </si>
  <si>
    <t>Рішення Новокаховської міської ради від 20.12.2018 р.                   № 1625                   (зі змінами)</t>
  </si>
  <si>
    <t>Рішення Новокаховської міської ріди від 20.12.2018 р.                      № 1626                   (зі змінами)</t>
  </si>
  <si>
    <t>Секретар міської ради</t>
  </si>
  <si>
    <t>8-го скликання міської ради</t>
  </si>
  <si>
    <t>Рішення Новокаховської міської ради  від 12.12.2019 р.                       № 2418                         (зі змінами)</t>
  </si>
  <si>
    <t>Рішення Новокаховської міської ради  від 12.12.2019 р.              № 2418                        (зі змінами)</t>
  </si>
  <si>
    <t>Рішення Новокаховської міської ради  від 12.12.2019 р.                № 2435                          (зі змінами)</t>
  </si>
  <si>
    <t>Рішення Новокаховської міської ради  від 12.12.2019 р.                № 2435                       (зі змінами)</t>
  </si>
  <si>
    <t>Рішення Новокаховської міської ради  від 12.12.2019 р.               № 2435                            (зі змінами)</t>
  </si>
  <si>
    <t>Рішення Новокаховської міської ради  від 12.12.2019 р.                № 2435                            (зі змінами)</t>
  </si>
  <si>
    <t>Рішення Новокаховської міської ради  від 21.11.2019 р.                № 2347                            (зі змінами)</t>
  </si>
  <si>
    <t>Рішення Новокаховської міської ради  від 12.12.2019 р.                        № 2446                      (зі змінами)</t>
  </si>
  <si>
    <t>Рішення Новокаховської міської ради  від 12.12.2019 р.                             № 2446                      (зі змінами)</t>
  </si>
  <si>
    <t>Рішення Новокаховської міської ради  від 12.12.2019 р.                         № 2446                    (зі змінами)</t>
  </si>
  <si>
    <t>Рішення Новокаховської міської ради  від 12.12.2019 р.                № 2446                    (зі змінами)</t>
  </si>
  <si>
    <t>Рішення Новокаховської міської ради  від 12.12.2019 р.                № 2464                   (зі змінами)</t>
  </si>
  <si>
    <t>Рішення Новокаховської міської ради  від 12.12.2019 р.               № 2472                    (зі змінами)</t>
  </si>
  <si>
    <t>Рішення Новокаховської міської ради від 17.12.2020 р.             № 140                        (зі змінами)</t>
  </si>
  <si>
    <t>Зміни до додатку 1 "Доходи бюджету Новокаховської міської територіальної громади на 2021 рік"                                                                                   рішення міської ради від 24 грудня 2020 року № 182</t>
  </si>
  <si>
    <t>Зміни до додатку 2 "Фінансування бюджету Новокаховської міської територіальної громади на 2021 рік"               рішення міської ради від 24 грудня 2020 року № 182</t>
  </si>
  <si>
    <t>Зміни до додатку 3 "Розподіл видатків бюджету Новокаховської міської територіальної громади на 2021  рік"  рішення міської ради від 24 грудня 2020 року № 182</t>
  </si>
  <si>
    <t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  рішення міської ради від 24 грудня 2020 року № 182</t>
  </si>
  <si>
    <t>Зміни додатку 7 "Розподіл витрат бюджету Новокаховської міської територіальної громади на реалізацію міських програм у 2021 році"                                                                                                        рішення міської ради від 24 грудня 2020 року № 182</t>
  </si>
  <si>
    <t>Рішення Новокаховської міської ради від 04.03.2021р. № 231</t>
  </si>
  <si>
    <t>Додаток 4</t>
  </si>
  <si>
    <t xml:space="preserve">Капітальний ремонт по заміні кабельної мережі 5-ти поверхової будівлі на лікарняному комплексі № 2 по вул. Свєтлова, 1 </t>
  </si>
  <si>
    <t xml:space="preserve">Капітальний ремонт ліфта дитячої поліклініки по вул. Свєтлова, 1 </t>
  </si>
  <si>
    <t>ЗАТВЕРДЖЕНО</t>
  </si>
  <si>
    <t>до рішення 7 сесії</t>
  </si>
  <si>
    <t>від 04.03.2021 року №288</t>
  </si>
  <si>
    <t>_______ Дмитро ВАСИЛЬЄВ</t>
  </si>
  <si>
    <t>_____ Дмитро ВАСИЛЬЄВ</t>
  </si>
  <si>
    <t>______  Дмитро ВАСИЛЬЄВ</t>
  </si>
  <si>
    <t>____ Дмитро ВАСИЛЬЄВ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</si>
</sst>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  <numFmt numFmtId="204" formatCode="0.0000000"/>
    <numFmt numFmtId="205" formatCode="0.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23"/>
      <color indexed="8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8"/>
      <name val="Times New Roman"/>
      <family val="1"/>
    </font>
    <font>
      <sz val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 vertical="top"/>
      <protection/>
    </xf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203" fontId="11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203" fontId="12" fillId="0" borderId="10" xfId="0" applyNumberFormat="1" applyFont="1" applyBorder="1" applyAlignment="1">
      <alignment/>
    </xf>
    <xf numFmtId="203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20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7" fillId="0" borderId="10" xfId="58" applyFont="1" applyBorder="1" applyAlignment="1">
      <alignment horizontal="center"/>
      <protection/>
    </xf>
    <xf numFmtId="0" fontId="17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10" xfId="68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98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98" fontId="16" fillId="0" borderId="10" xfId="0" applyNumberFormat="1" applyFont="1" applyFill="1" applyBorder="1" applyAlignment="1">
      <alignment vertical="center" wrapText="1"/>
    </xf>
    <xf numFmtId="198" fontId="1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49" fontId="29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3" fontId="2" fillId="0" borderId="11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7" fillId="0" borderId="10" xfId="6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3" fontId="24" fillId="0" borderId="10" xfId="68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203" fontId="8" fillId="0" borderId="10" xfId="68" applyNumberFormat="1" applyFont="1" applyFill="1" applyBorder="1" applyAlignment="1">
      <alignment vertical="center" wrapText="1"/>
    </xf>
    <xf numFmtId="203" fontId="12" fillId="0" borderId="10" xfId="68" applyNumberFormat="1" applyFont="1" applyFill="1" applyBorder="1" applyAlignment="1">
      <alignment vertical="center" wrapText="1"/>
    </xf>
    <xf numFmtId="203" fontId="12" fillId="0" borderId="10" xfId="0" applyNumberFormat="1" applyFont="1" applyFill="1" applyBorder="1" applyAlignment="1">
      <alignment vertical="center"/>
    </xf>
    <xf numFmtId="203" fontId="13" fillId="0" borderId="10" xfId="68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/>
    </xf>
    <xf numFmtId="0" fontId="18" fillId="0" borderId="10" xfId="54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203" fontId="12" fillId="0" borderId="10" xfId="68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26" fillId="0" borderId="10" xfId="6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26" fillId="0" borderId="10" xfId="68" applyNumberFormat="1" applyFont="1" applyFill="1" applyBorder="1" applyAlignment="1">
      <alignment horizontal="center" vertical="center"/>
    </xf>
    <xf numFmtId="3" fontId="4" fillId="0" borderId="10" xfId="68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199" fontId="16" fillId="0" borderId="10" xfId="0" applyNumberFormat="1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199" fontId="16" fillId="0" borderId="10" xfId="49" applyNumberFormat="1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68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3" fontId="16" fillId="0" borderId="10" xfId="68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32" fillId="0" borderId="10" xfId="49" applyNumberFormat="1" applyFont="1" applyFill="1" applyBorder="1" applyAlignment="1">
      <alignment horizontal="center" vertical="center"/>
      <protection/>
    </xf>
    <xf numFmtId="3" fontId="16" fillId="0" borderId="10" xfId="49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/>
    </xf>
    <xf numFmtId="49" fontId="21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199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18" fillId="0" borderId="0" xfId="0" applyFont="1" applyFill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7" fillId="0" borderId="21" xfId="58" applyFont="1" applyBorder="1" applyAlignment="1">
      <alignment wrapText="1"/>
      <protection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98" fontId="16" fillId="0" borderId="12" xfId="0" applyNumberFormat="1" applyFont="1" applyFill="1" applyBorder="1" applyAlignment="1" applyProtection="1">
      <alignment vertical="center" wrapText="1"/>
      <protection/>
    </xf>
    <xf numFmtId="198" fontId="16" fillId="0" borderId="16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 wrapText="1"/>
    </xf>
    <xf numFmtId="198" fontId="16" fillId="0" borderId="12" xfId="0" applyNumberFormat="1" applyFont="1" applyFill="1" applyBorder="1" applyAlignment="1">
      <alignment horizontal="center" vertical="center" wrapText="1"/>
    </xf>
    <xf numFmtId="198" fontId="16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E4" sqref="E4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ht="20.25">
      <c r="E1" s="150" t="s">
        <v>305</v>
      </c>
    </row>
    <row r="2" ht="20.25">
      <c r="E2" s="150" t="s">
        <v>280</v>
      </c>
    </row>
    <row r="3" ht="20.25">
      <c r="E3" s="150" t="s">
        <v>308</v>
      </c>
    </row>
    <row r="4" ht="20.25">
      <c r="E4" s="150"/>
    </row>
    <row r="5" ht="20.25">
      <c r="E5" s="150" t="s">
        <v>144</v>
      </c>
    </row>
    <row r="6" spans="1:6" ht="20.25">
      <c r="A6" s="203"/>
      <c r="B6" s="32"/>
      <c r="E6" s="151" t="s">
        <v>306</v>
      </c>
      <c r="F6" s="33"/>
    </row>
    <row r="7" spans="1:6" ht="19.5" customHeight="1">
      <c r="A7" s="203"/>
      <c r="B7" s="32"/>
      <c r="D7" s="34"/>
      <c r="E7" s="151" t="s">
        <v>281</v>
      </c>
      <c r="F7" s="35"/>
    </row>
    <row r="8" spans="1:6" ht="20.25">
      <c r="A8" s="203"/>
      <c r="B8" s="32"/>
      <c r="D8" s="34"/>
      <c r="E8" s="150" t="s">
        <v>307</v>
      </c>
      <c r="F8" s="36"/>
    </row>
    <row r="9" spans="1:6" ht="20.25">
      <c r="A9" s="203"/>
      <c r="B9" s="32"/>
      <c r="D9" s="34"/>
      <c r="E9" s="150"/>
      <c r="F9" s="36"/>
    </row>
    <row r="10" spans="1:6" ht="15">
      <c r="A10" s="203"/>
      <c r="B10" s="32"/>
      <c r="D10" s="204"/>
      <c r="E10" s="204"/>
      <c r="F10" s="204"/>
    </row>
    <row r="11" spans="1:6" ht="15">
      <c r="A11" s="203"/>
      <c r="B11" s="32"/>
      <c r="D11" s="37"/>
      <c r="E11" s="37"/>
      <c r="F11" s="38"/>
    </row>
    <row r="12" ht="12.75">
      <c r="A12" s="39"/>
    </row>
    <row r="13" spans="1:6" ht="48" customHeight="1">
      <c r="A13" s="206" t="s">
        <v>296</v>
      </c>
      <c r="B13" s="207"/>
      <c r="C13" s="207"/>
      <c r="D13" s="207"/>
      <c r="E13" s="207"/>
      <c r="F13" s="207"/>
    </row>
    <row r="14" spans="2:6" ht="18.75">
      <c r="B14" s="97"/>
      <c r="C14" s="98"/>
      <c r="D14" s="98"/>
      <c r="E14" s="98"/>
      <c r="F14" s="40"/>
    </row>
    <row r="15" spans="1:6" ht="18.75">
      <c r="A15" s="41">
        <v>21528000000</v>
      </c>
      <c r="B15" s="42"/>
      <c r="C15" s="42"/>
      <c r="D15" s="42"/>
      <c r="E15" s="42"/>
      <c r="F15" s="42"/>
    </row>
    <row r="16" ht="12.75">
      <c r="A16" s="43" t="s">
        <v>134</v>
      </c>
    </row>
    <row r="17" ht="15.75">
      <c r="F17" s="44" t="s">
        <v>0</v>
      </c>
    </row>
    <row r="18" ht="15.75">
      <c r="F18" s="44"/>
    </row>
    <row r="19" spans="1:6" ht="15.75">
      <c r="A19" s="205" t="s">
        <v>145</v>
      </c>
      <c r="B19" s="205" t="s">
        <v>146</v>
      </c>
      <c r="C19" s="205" t="s">
        <v>147</v>
      </c>
      <c r="D19" s="205" t="s">
        <v>1</v>
      </c>
      <c r="E19" s="205" t="s">
        <v>2</v>
      </c>
      <c r="F19" s="205"/>
    </row>
    <row r="20" spans="1:6" ht="31.5">
      <c r="A20" s="205"/>
      <c r="B20" s="205"/>
      <c r="C20" s="205"/>
      <c r="D20" s="205"/>
      <c r="E20" s="45" t="s">
        <v>3</v>
      </c>
      <c r="F20" s="45" t="s">
        <v>4</v>
      </c>
    </row>
    <row r="21" spans="1:6" ht="12.75">
      <c r="A21" s="46">
        <v>1</v>
      </c>
      <c r="B21" s="46">
        <v>2</v>
      </c>
      <c r="C21" s="46">
        <v>3</v>
      </c>
      <c r="D21" s="46">
        <v>4</v>
      </c>
      <c r="E21" s="46">
        <v>5</v>
      </c>
      <c r="F21" s="46">
        <v>6</v>
      </c>
    </row>
    <row r="22" spans="1:6" ht="18.75">
      <c r="A22" s="149">
        <v>10000000</v>
      </c>
      <c r="B22" s="147" t="s">
        <v>148</v>
      </c>
      <c r="C22" s="146"/>
      <c r="D22" s="146"/>
      <c r="E22" s="146"/>
      <c r="F22" s="146"/>
    </row>
    <row r="23" spans="1:6" ht="37.5">
      <c r="A23" s="148">
        <v>13030000</v>
      </c>
      <c r="B23" s="147" t="s">
        <v>259</v>
      </c>
      <c r="C23" s="146">
        <f>D23+E23</f>
        <v>-86400</v>
      </c>
      <c r="D23" s="146">
        <v>-86400</v>
      </c>
      <c r="E23" s="146"/>
      <c r="F23" s="146"/>
    </row>
    <row r="24" spans="1:6" ht="60.75" customHeight="1">
      <c r="A24" s="148">
        <v>13030000</v>
      </c>
      <c r="B24" s="157" t="s">
        <v>226</v>
      </c>
      <c r="C24" s="146">
        <f aca="true" t="shared" si="0" ref="C24:C33">D24+E24</f>
        <v>86400</v>
      </c>
      <c r="D24" s="146">
        <v>86400</v>
      </c>
      <c r="E24" s="146"/>
      <c r="F24" s="146"/>
    </row>
    <row r="25" spans="1:6" ht="84.75" customHeight="1">
      <c r="A25" s="148">
        <v>13030100</v>
      </c>
      <c r="B25" s="157" t="s">
        <v>260</v>
      </c>
      <c r="C25" s="146">
        <f t="shared" si="0"/>
        <v>-86400</v>
      </c>
      <c r="D25" s="146">
        <v>-86400</v>
      </c>
      <c r="E25" s="146"/>
      <c r="F25" s="146"/>
    </row>
    <row r="26" spans="1:6" ht="75">
      <c r="A26" s="148">
        <v>13030100</v>
      </c>
      <c r="B26" s="145" t="s">
        <v>227</v>
      </c>
      <c r="C26" s="146">
        <f t="shared" si="0"/>
        <v>86400</v>
      </c>
      <c r="D26" s="146">
        <v>86400</v>
      </c>
      <c r="E26" s="146"/>
      <c r="F26" s="146"/>
    </row>
    <row r="27" spans="1:6" ht="18.75">
      <c r="A27" s="148">
        <v>18000000</v>
      </c>
      <c r="B27" s="145" t="s">
        <v>261</v>
      </c>
      <c r="C27" s="146">
        <f t="shared" si="0"/>
        <v>-91768800</v>
      </c>
      <c r="D27" s="146">
        <v>-91768800</v>
      </c>
      <c r="E27" s="146"/>
      <c r="F27" s="146"/>
    </row>
    <row r="28" spans="1:6" ht="75">
      <c r="A28" s="148">
        <v>18000000</v>
      </c>
      <c r="B28" s="145" t="s">
        <v>228</v>
      </c>
      <c r="C28" s="146">
        <f t="shared" si="0"/>
        <v>91768800</v>
      </c>
      <c r="D28" s="146">
        <v>91768800</v>
      </c>
      <c r="E28" s="146"/>
      <c r="F28" s="146"/>
    </row>
    <row r="29" spans="1:6" ht="27" customHeight="1">
      <c r="A29" s="149">
        <v>20000000</v>
      </c>
      <c r="B29" s="147" t="s">
        <v>149</v>
      </c>
      <c r="C29" s="146"/>
      <c r="D29" s="146"/>
      <c r="E29" s="146"/>
      <c r="F29" s="146"/>
    </row>
    <row r="30" spans="1:6" ht="18.75">
      <c r="A30" s="148">
        <v>24000000</v>
      </c>
      <c r="B30" s="145" t="s">
        <v>150</v>
      </c>
      <c r="C30" s="146"/>
      <c r="D30" s="146"/>
      <c r="E30" s="146"/>
      <c r="F30" s="146"/>
    </row>
    <row r="31" spans="1:6" ht="37.5">
      <c r="A31" s="148">
        <v>24110000</v>
      </c>
      <c r="B31" s="145" t="s">
        <v>151</v>
      </c>
      <c r="C31" s="146"/>
      <c r="D31" s="146"/>
      <c r="E31" s="146"/>
      <c r="F31" s="146"/>
    </row>
    <row r="32" spans="1:6" ht="75">
      <c r="A32" s="148">
        <v>24110700</v>
      </c>
      <c r="B32" s="145" t="s">
        <v>262</v>
      </c>
      <c r="C32" s="146">
        <v>-12</v>
      </c>
      <c r="D32" s="146"/>
      <c r="E32" s="146">
        <v>-12</v>
      </c>
      <c r="F32" s="146">
        <v>-12</v>
      </c>
    </row>
    <row r="33" spans="1:6" ht="75">
      <c r="A33" s="148">
        <v>24110700</v>
      </c>
      <c r="B33" s="145" t="s">
        <v>229</v>
      </c>
      <c r="C33" s="146">
        <f t="shared" si="0"/>
        <v>12</v>
      </c>
      <c r="D33" s="146"/>
      <c r="E33" s="146">
        <v>12</v>
      </c>
      <c r="F33" s="146">
        <v>12</v>
      </c>
    </row>
    <row r="34" spans="1:7" ht="37.5" customHeight="1">
      <c r="A34" s="149"/>
      <c r="B34" s="49" t="s">
        <v>152</v>
      </c>
      <c r="C34" s="105"/>
      <c r="D34" s="105"/>
      <c r="E34" s="105"/>
      <c r="F34" s="105"/>
      <c r="G34" s="47"/>
    </row>
    <row r="35" spans="1:6" ht="18.75">
      <c r="A35" s="48" t="s">
        <v>153</v>
      </c>
      <c r="B35" s="49" t="s">
        <v>154</v>
      </c>
      <c r="C35" s="105"/>
      <c r="D35" s="105"/>
      <c r="E35" s="105"/>
      <c r="F35" s="105"/>
    </row>
    <row r="39" spans="2:6" ht="18.75">
      <c r="B39" s="33"/>
      <c r="C39" s="33"/>
      <c r="D39" s="33"/>
      <c r="E39" s="33"/>
      <c r="F39" s="33"/>
    </row>
    <row r="40" spans="2:6" ht="15.75">
      <c r="B40" s="5"/>
      <c r="C40" s="5"/>
      <c r="D40" s="5"/>
      <c r="E40" s="5"/>
      <c r="F40" s="5"/>
    </row>
    <row r="41" spans="1:5" ht="18.75">
      <c r="A41" s="33"/>
      <c r="B41" s="33"/>
      <c r="C41" s="33"/>
      <c r="D41" s="36"/>
      <c r="E41" s="33"/>
    </row>
  </sheetData>
  <sheetProtection/>
  <mergeCells count="8">
    <mergeCell ref="A6:A11"/>
    <mergeCell ref="D10:F10"/>
    <mergeCell ref="A19:A20"/>
    <mergeCell ref="B19:B20"/>
    <mergeCell ref="C19:C20"/>
    <mergeCell ref="D19:D20"/>
    <mergeCell ref="E19:F19"/>
    <mergeCell ref="A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8">
      <selection activeCell="E9" sqref="E9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5.75390625" style="0" customWidth="1"/>
    <col min="4" max="4" width="17.125" style="0" customWidth="1"/>
    <col min="5" max="5" width="17.375" style="0" customWidth="1"/>
    <col min="6" max="6" width="20.00390625" style="0" customWidth="1"/>
  </cols>
  <sheetData>
    <row r="1" ht="20.25">
      <c r="E1" s="150" t="s">
        <v>305</v>
      </c>
    </row>
    <row r="2" ht="20.25">
      <c r="E2" s="150" t="s">
        <v>280</v>
      </c>
    </row>
    <row r="3" ht="20.25">
      <c r="E3" s="150" t="s">
        <v>309</v>
      </c>
    </row>
    <row r="4" ht="20.25">
      <c r="E4" s="150"/>
    </row>
    <row r="5" ht="20.25">
      <c r="E5" s="150" t="s">
        <v>155</v>
      </c>
    </row>
    <row r="6" ht="20.25">
      <c r="E6" s="151" t="s">
        <v>306</v>
      </c>
    </row>
    <row r="7" ht="20.25">
      <c r="E7" s="151" t="s">
        <v>281</v>
      </c>
    </row>
    <row r="8" ht="20.25">
      <c r="E8" s="150" t="s">
        <v>307</v>
      </c>
    </row>
    <row r="9" ht="14.25">
      <c r="F9" s="50"/>
    </row>
    <row r="11" spans="1:6" ht="45.75" customHeight="1">
      <c r="A11" s="215" t="s">
        <v>297</v>
      </c>
      <c r="B11" s="215"/>
      <c r="C11" s="215"/>
      <c r="D11" s="215"/>
      <c r="E11" s="215"/>
      <c r="F11" s="215"/>
    </row>
    <row r="12" spans="1:6" ht="15.75">
      <c r="A12" s="22"/>
      <c r="B12" s="22"/>
      <c r="C12" s="22"/>
      <c r="D12" s="22"/>
      <c r="E12" s="22"/>
      <c r="F12" s="22"/>
    </row>
    <row r="13" spans="1:6" ht="15.75">
      <c r="A13" s="51" t="s">
        <v>156</v>
      </c>
      <c r="B13" s="22"/>
      <c r="C13" s="22"/>
      <c r="D13" s="22"/>
      <c r="E13" s="22"/>
      <c r="F13" s="22"/>
    </row>
    <row r="14" ht="12.75">
      <c r="A14" s="52" t="s">
        <v>134</v>
      </c>
    </row>
    <row r="15" spans="1:6" ht="12.75">
      <c r="A15" s="39"/>
      <c r="F15" s="53" t="s">
        <v>0</v>
      </c>
    </row>
    <row r="16" ht="13.5" thickBot="1"/>
    <row r="17" spans="1:6" ht="26.25" customHeight="1" thickBot="1">
      <c r="A17" s="216" t="s">
        <v>145</v>
      </c>
      <c r="B17" s="216" t="s">
        <v>157</v>
      </c>
      <c r="C17" s="216" t="s">
        <v>147</v>
      </c>
      <c r="D17" s="216" t="s">
        <v>1</v>
      </c>
      <c r="E17" s="218" t="s">
        <v>2</v>
      </c>
      <c r="F17" s="219"/>
    </row>
    <row r="18" spans="1:6" ht="39" customHeight="1" thickBot="1">
      <c r="A18" s="217"/>
      <c r="B18" s="217"/>
      <c r="C18" s="217"/>
      <c r="D18" s="217"/>
      <c r="E18" s="54" t="s">
        <v>3</v>
      </c>
      <c r="F18" s="54" t="s">
        <v>4</v>
      </c>
    </row>
    <row r="19" spans="1:6" ht="16.5" thickBot="1">
      <c r="A19" s="54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</row>
    <row r="20" spans="1:6" ht="16.5" customHeight="1">
      <c r="A20" s="208" t="s">
        <v>158</v>
      </c>
      <c r="B20" s="209"/>
      <c r="C20" s="210"/>
      <c r="D20" s="210"/>
      <c r="E20" s="210"/>
      <c r="F20" s="211"/>
    </row>
    <row r="21" spans="1:6" ht="15.75">
      <c r="A21" s="55">
        <v>200000</v>
      </c>
      <c r="B21" s="5" t="s">
        <v>159</v>
      </c>
      <c r="C21" s="174">
        <f>D21+E21</f>
        <v>12293201</v>
      </c>
      <c r="D21" s="100">
        <f>D22</f>
        <v>3725015</v>
      </c>
      <c r="E21" s="100">
        <f>E22</f>
        <v>8568186</v>
      </c>
      <c r="F21" s="100">
        <f>F22</f>
        <v>8568186</v>
      </c>
    </row>
    <row r="22" spans="1:6" ht="31.5">
      <c r="A22" s="56">
        <v>208000</v>
      </c>
      <c r="B22" s="57" t="s">
        <v>160</v>
      </c>
      <c r="C22" s="174">
        <f>D22+E22</f>
        <v>12293201</v>
      </c>
      <c r="D22" s="101">
        <f>D24+D23</f>
        <v>3725015</v>
      </c>
      <c r="E22" s="101">
        <f>E24+E23</f>
        <v>8568186</v>
      </c>
      <c r="F22" s="101">
        <f>F24+F23</f>
        <v>8568186</v>
      </c>
    </row>
    <row r="23" spans="1:6" ht="15.75">
      <c r="A23" s="56">
        <v>208100</v>
      </c>
      <c r="B23" s="57" t="s">
        <v>161</v>
      </c>
      <c r="C23" s="174">
        <f>D23+E23</f>
        <v>12293201</v>
      </c>
      <c r="D23" s="101">
        <f>10870433-1000000-1000000-522700-283197-997275-350913+1204862-688958</f>
        <v>7232252</v>
      </c>
      <c r="E23" s="101">
        <f>F23</f>
        <v>5060949</v>
      </c>
      <c r="F23" s="101">
        <f>9486014+254800-645049-2950000-42273-1042543</f>
        <v>5060949</v>
      </c>
    </row>
    <row r="24" spans="1:6" ht="35.25" customHeight="1">
      <c r="A24" s="56">
        <v>208400</v>
      </c>
      <c r="B24" s="57" t="s">
        <v>162</v>
      </c>
      <c r="C24" s="174"/>
      <c r="D24" s="101">
        <f>-1845375-1000000-994862+333000</f>
        <v>-3507237</v>
      </c>
      <c r="E24" s="101">
        <f>F24</f>
        <v>3507237</v>
      </c>
      <c r="F24" s="101">
        <f>1845375+1000000+994862-333000</f>
        <v>3507237</v>
      </c>
    </row>
    <row r="25" spans="1:6" ht="16.5" customHeight="1">
      <c r="A25" s="58" t="s">
        <v>135</v>
      </c>
      <c r="B25" s="59" t="s">
        <v>163</v>
      </c>
      <c r="C25" s="175">
        <f>D25+E25</f>
        <v>12293201</v>
      </c>
      <c r="D25" s="102">
        <f>D21</f>
        <v>3725015</v>
      </c>
      <c r="E25" s="102">
        <f>E21</f>
        <v>8568186</v>
      </c>
      <c r="F25" s="102">
        <f>F21</f>
        <v>8568186</v>
      </c>
    </row>
    <row r="26" spans="1:6" ht="13.5">
      <c r="A26" s="212" t="s">
        <v>164</v>
      </c>
      <c r="B26" s="213"/>
      <c r="C26" s="213"/>
      <c r="D26" s="213"/>
      <c r="E26" s="213"/>
      <c r="F26" s="214"/>
    </row>
    <row r="27" spans="1:6" ht="15.75">
      <c r="A27" s="56">
        <v>600000</v>
      </c>
      <c r="B27" s="57" t="s">
        <v>165</v>
      </c>
      <c r="C27" s="174">
        <f>D27+E27</f>
        <v>12293201</v>
      </c>
      <c r="D27" s="100">
        <f>D28</f>
        <v>3725015</v>
      </c>
      <c r="E27" s="100">
        <f>E28</f>
        <v>8568186</v>
      </c>
      <c r="F27" s="100">
        <f>F28</f>
        <v>8568186</v>
      </c>
    </row>
    <row r="28" spans="1:6" ht="15.75">
      <c r="A28" s="56">
        <v>602000</v>
      </c>
      <c r="B28" s="57" t="s">
        <v>166</v>
      </c>
      <c r="C28" s="174">
        <f>D28+E28</f>
        <v>12293201</v>
      </c>
      <c r="D28" s="101">
        <f>D30+D29</f>
        <v>3725015</v>
      </c>
      <c r="E28" s="101">
        <f>E30+E29</f>
        <v>8568186</v>
      </c>
      <c r="F28" s="101">
        <f>F30+F29</f>
        <v>8568186</v>
      </c>
    </row>
    <row r="29" spans="1:6" ht="15.75">
      <c r="A29" s="56">
        <v>602100</v>
      </c>
      <c r="B29" s="57" t="s">
        <v>161</v>
      </c>
      <c r="C29" s="174">
        <f>D29+E29</f>
        <v>12293201</v>
      </c>
      <c r="D29" s="101">
        <f>10870433-1000000-1000000-522700-283197-997275-350913+1204862-688958</f>
        <v>7232252</v>
      </c>
      <c r="E29" s="101">
        <f>F29</f>
        <v>5060949</v>
      </c>
      <c r="F29" s="101">
        <f>9486014+254800-645049-2950000-42273-1042543</f>
        <v>5060949</v>
      </c>
    </row>
    <row r="30" spans="1:6" ht="30" customHeight="1">
      <c r="A30" s="56">
        <v>602400</v>
      </c>
      <c r="B30" s="57" t="s">
        <v>162</v>
      </c>
      <c r="C30" s="174"/>
      <c r="D30" s="101">
        <f>-1845375-1000000-994862+333000</f>
        <v>-3507237</v>
      </c>
      <c r="E30" s="101">
        <f>F30</f>
        <v>3507237</v>
      </c>
      <c r="F30" s="101">
        <f>1845375+1000000+994862-333000</f>
        <v>3507237</v>
      </c>
    </row>
    <row r="31" spans="1:6" ht="15.75">
      <c r="A31" s="58" t="s">
        <v>135</v>
      </c>
      <c r="B31" s="59" t="s">
        <v>163</v>
      </c>
      <c r="C31" s="175">
        <f>D31+E31</f>
        <v>12293201</v>
      </c>
      <c r="D31" s="102">
        <f>D27</f>
        <v>3725015</v>
      </c>
      <c r="E31" s="102">
        <f>E27</f>
        <v>8568186</v>
      </c>
      <c r="F31" s="102">
        <f>F27</f>
        <v>8568186</v>
      </c>
    </row>
    <row r="35" spans="1:5" ht="18.75">
      <c r="A35" s="33"/>
      <c r="B35" s="33"/>
      <c r="C35" s="33"/>
      <c r="D35" s="33"/>
      <c r="E35" s="33"/>
    </row>
  </sheetData>
  <sheetProtection/>
  <mergeCells count="8">
    <mergeCell ref="A20:F20"/>
    <mergeCell ref="A26:F26"/>
    <mergeCell ref="A11:F11"/>
    <mergeCell ref="A17:A18"/>
    <mergeCell ref="B17:B18"/>
    <mergeCell ref="C17:C18"/>
    <mergeCell ref="D17:D18"/>
    <mergeCell ref="E17:F17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3"/>
  <sheetViews>
    <sheetView showZeros="0" showOutlineSymbols="0" zoomScale="50" zoomScaleNormal="50" zoomScalePageLayoutView="0" workbookViewId="0" topLeftCell="C1">
      <selection activeCell="Z9" sqref="Z9"/>
    </sheetView>
  </sheetViews>
  <sheetFormatPr defaultColWidth="9.00390625" defaultRowHeight="12.75"/>
  <cols>
    <col min="1" max="1" width="26.375" style="1" customWidth="1"/>
    <col min="2" max="2" width="24.37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37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75390625" style="1" hidden="1" customWidth="1"/>
    <col min="11" max="11" width="20.625" style="1" hidden="1" customWidth="1"/>
    <col min="12" max="12" width="26.2539062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625" style="1" bestFit="1" customWidth="1"/>
    <col min="17" max="17" width="26.625" style="1" customWidth="1"/>
    <col min="18" max="18" width="25.75390625" style="1" customWidth="1"/>
    <col min="19" max="19" width="23.125" style="1" customWidth="1"/>
    <col min="20" max="20" width="19.37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625" style="1" customWidth="1"/>
    <col min="26" max="26" width="24.125" style="1" customWidth="1"/>
    <col min="27" max="27" width="25.625" style="1" customWidth="1"/>
    <col min="28" max="16384" width="9.125" style="1" customWidth="1"/>
  </cols>
  <sheetData>
    <row r="1" ht="24">
      <c r="Z1" s="152" t="s">
        <v>305</v>
      </c>
    </row>
    <row r="2" ht="24">
      <c r="Z2" s="152" t="s">
        <v>280</v>
      </c>
    </row>
    <row r="3" ht="24">
      <c r="Z3" s="152" t="s">
        <v>310</v>
      </c>
    </row>
    <row r="4" ht="24">
      <c r="Z4" s="152"/>
    </row>
    <row r="5" spans="26:27" ht="29.25">
      <c r="Z5" s="152" t="s">
        <v>200</v>
      </c>
      <c r="AA5" s="140"/>
    </row>
    <row r="6" spans="26:27" ht="29.25">
      <c r="Z6" s="153" t="s">
        <v>306</v>
      </c>
      <c r="AA6" s="140"/>
    </row>
    <row r="7" spans="26:27" ht="29.25">
      <c r="Z7" s="153" t="s">
        <v>281</v>
      </c>
      <c r="AA7" s="140"/>
    </row>
    <row r="8" spans="26:27" ht="26.25" customHeight="1">
      <c r="Z8" s="152" t="s">
        <v>307</v>
      </c>
      <c r="AA8" s="140"/>
    </row>
    <row r="9" ht="39.75" customHeight="1"/>
    <row r="10" ht="50.25" customHeight="1"/>
    <row r="11" spans="1:27" ht="43.5" customHeight="1">
      <c r="A11" s="226" t="s">
        <v>298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</row>
    <row r="12" spans="1:27" ht="30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</row>
    <row r="13" spans="1:16" ht="35.25" customHeight="1">
      <c r="A13" s="141">
        <v>21528000000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27" ht="28.5" customHeight="1">
      <c r="A14" s="142" t="s">
        <v>134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Z14" s="3"/>
      <c r="AA14" s="3"/>
    </row>
    <row r="15" spans="1:27" ht="26.25" customHeight="1">
      <c r="A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6"/>
      <c r="Y15" s="3"/>
      <c r="Z15" s="3"/>
      <c r="AA15" s="23" t="s">
        <v>0</v>
      </c>
    </row>
    <row r="16" spans="1:27" ht="54" customHeight="1">
      <c r="A16" s="190" t="s">
        <v>12</v>
      </c>
      <c r="B16" s="190" t="s">
        <v>13</v>
      </c>
      <c r="C16" s="190" t="s">
        <v>5</v>
      </c>
      <c r="D16" s="190" t="s">
        <v>14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3" t="s">
        <v>6</v>
      </c>
      <c r="O16" s="10"/>
      <c r="P16" s="220" t="s">
        <v>1</v>
      </c>
      <c r="Q16" s="225"/>
      <c r="R16" s="225"/>
      <c r="S16" s="225"/>
      <c r="T16" s="225"/>
      <c r="U16" s="193" t="s">
        <v>2</v>
      </c>
      <c r="V16" s="194"/>
      <c r="W16" s="194"/>
      <c r="X16" s="194"/>
      <c r="Y16" s="194"/>
      <c r="Z16" s="195"/>
      <c r="AA16" s="220" t="s">
        <v>6</v>
      </c>
    </row>
    <row r="17" spans="1:27" ht="12.75" customHeight="1">
      <c r="A17" s="191"/>
      <c r="B17" s="191"/>
      <c r="C17" s="191"/>
      <c r="D17" s="191"/>
      <c r="E17" s="222"/>
      <c r="F17" s="222"/>
      <c r="G17" s="222"/>
      <c r="H17" s="222"/>
      <c r="I17" s="222"/>
      <c r="J17" s="222"/>
      <c r="K17" s="222"/>
      <c r="L17" s="222"/>
      <c r="M17" s="222"/>
      <c r="N17" s="224"/>
      <c r="O17" s="17"/>
      <c r="P17" s="225"/>
      <c r="Q17" s="225"/>
      <c r="R17" s="225"/>
      <c r="S17" s="225"/>
      <c r="T17" s="225"/>
      <c r="U17" s="196"/>
      <c r="V17" s="197"/>
      <c r="W17" s="197"/>
      <c r="X17" s="197"/>
      <c r="Y17" s="197"/>
      <c r="Z17" s="198"/>
      <c r="AA17" s="221"/>
    </row>
    <row r="18" spans="1:27" ht="36" customHeight="1">
      <c r="A18" s="191"/>
      <c r="B18" s="191"/>
      <c r="C18" s="191"/>
      <c r="D18" s="191"/>
      <c r="E18" s="220" t="s">
        <v>8</v>
      </c>
      <c r="F18" s="221"/>
      <c r="G18" s="220" t="s">
        <v>9</v>
      </c>
      <c r="H18" s="220" t="s">
        <v>3</v>
      </c>
      <c r="I18" s="220" t="s">
        <v>4</v>
      </c>
      <c r="J18" s="220" t="s">
        <v>7</v>
      </c>
      <c r="K18" s="220" t="s">
        <v>8</v>
      </c>
      <c r="L18" s="221"/>
      <c r="M18" s="220" t="s">
        <v>9</v>
      </c>
      <c r="N18" s="224"/>
      <c r="O18" s="220" t="s">
        <v>3</v>
      </c>
      <c r="P18" s="220" t="s">
        <v>3</v>
      </c>
      <c r="Q18" s="220" t="s">
        <v>7</v>
      </c>
      <c r="R18" s="220" t="s">
        <v>8</v>
      </c>
      <c r="S18" s="221"/>
      <c r="T18" s="220" t="s">
        <v>9</v>
      </c>
      <c r="U18" s="220" t="s">
        <v>3</v>
      </c>
      <c r="V18" s="220" t="s">
        <v>4</v>
      </c>
      <c r="W18" s="220" t="s">
        <v>7</v>
      </c>
      <c r="X18" s="220" t="s">
        <v>8</v>
      </c>
      <c r="Y18" s="221"/>
      <c r="Z18" s="220" t="s">
        <v>9</v>
      </c>
      <c r="AA18" s="221"/>
    </row>
    <row r="19" spans="1:27" ht="220.5" customHeight="1">
      <c r="A19" s="192"/>
      <c r="B19" s="192"/>
      <c r="C19" s="192"/>
      <c r="D19" s="192"/>
      <c r="E19" s="31" t="s">
        <v>10</v>
      </c>
      <c r="F19" s="31" t="s">
        <v>11</v>
      </c>
      <c r="G19" s="221"/>
      <c r="H19" s="221"/>
      <c r="I19" s="221"/>
      <c r="J19" s="221"/>
      <c r="K19" s="31" t="s">
        <v>10</v>
      </c>
      <c r="L19" s="31" t="s">
        <v>11</v>
      </c>
      <c r="M19" s="221"/>
      <c r="N19" s="224"/>
      <c r="O19" s="220"/>
      <c r="P19" s="221"/>
      <c r="Q19" s="221"/>
      <c r="R19" s="31" t="s">
        <v>10</v>
      </c>
      <c r="S19" s="31" t="s">
        <v>11</v>
      </c>
      <c r="T19" s="221"/>
      <c r="U19" s="221"/>
      <c r="V19" s="221"/>
      <c r="W19" s="221"/>
      <c r="X19" s="31" t="s">
        <v>10</v>
      </c>
      <c r="Y19" s="31" t="s">
        <v>11</v>
      </c>
      <c r="Z19" s="221"/>
      <c r="AA19" s="221"/>
    </row>
    <row r="20" spans="1:27" s="5" customFormat="1" ht="23.25">
      <c r="A20" s="29">
        <v>1</v>
      </c>
      <c r="B20" s="29">
        <v>2</v>
      </c>
      <c r="C20" s="29">
        <v>3</v>
      </c>
      <c r="D20" s="29">
        <v>4</v>
      </c>
      <c r="E20" s="30">
        <v>10</v>
      </c>
      <c r="F20" s="30">
        <v>11</v>
      </c>
      <c r="G20" s="30"/>
      <c r="H20" s="30">
        <v>12</v>
      </c>
      <c r="I20" s="30">
        <v>13</v>
      </c>
      <c r="J20" s="30">
        <v>14</v>
      </c>
      <c r="K20" s="30">
        <v>15</v>
      </c>
      <c r="L20" s="30">
        <v>16</v>
      </c>
      <c r="M20" s="30"/>
      <c r="N20" s="30">
        <v>17</v>
      </c>
      <c r="O20" s="30"/>
      <c r="P20" s="30">
        <v>5</v>
      </c>
      <c r="Q20" s="30">
        <v>6</v>
      </c>
      <c r="R20" s="30">
        <v>7</v>
      </c>
      <c r="S20" s="30">
        <v>8</v>
      </c>
      <c r="T20" s="30">
        <v>9</v>
      </c>
      <c r="U20" s="30">
        <v>10</v>
      </c>
      <c r="V20" s="30">
        <v>11</v>
      </c>
      <c r="W20" s="30">
        <v>12</v>
      </c>
      <c r="X20" s="30">
        <v>13</v>
      </c>
      <c r="Y20" s="30">
        <v>14</v>
      </c>
      <c r="Z20" s="30">
        <v>15</v>
      </c>
      <c r="AA20" s="30">
        <v>16</v>
      </c>
    </row>
    <row r="21" spans="1:27" s="4" customFormat="1" ht="69.75" hidden="1">
      <c r="A21" s="7" t="s">
        <v>15</v>
      </c>
      <c r="B21" s="7"/>
      <c r="C21" s="7"/>
      <c r="D21" s="6" t="s">
        <v>16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4" customFormat="1" ht="102.75" customHeight="1">
      <c r="A22" s="11" t="s">
        <v>15</v>
      </c>
      <c r="B22" s="11"/>
      <c r="C22" s="11"/>
      <c r="D22" s="12" t="s">
        <v>16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11">
        <f>P23</f>
        <v>2259990</v>
      </c>
      <c r="Q22" s="111">
        <f aca="true" t="shared" si="0" ref="Q22:AA22">Q23</f>
        <v>2259990</v>
      </c>
      <c r="R22" s="111">
        <f t="shared" si="0"/>
        <v>0</v>
      </c>
      <c r="S22" s="111">
        <f t="shared" si="0"/>
        <v>0</v>
      </c>
      <c r="T22" s="111">
        <f t="shared" si="0"/>
        <v>0</v>
      </c>
      <c r="U22" s="111">
        <f t="shared" si="0"/>
        <v>7880486</v>
      </c>
      <c r="V22" s="111">
        <f t="shared" si="0"/>
        <v>7880486</v>
      </c>
      <c r="W22" s="111">
        <f t="shared" si="0"/>
        <v>0</v>
      </c>
      <c r="X22" s="111">
        <f t="shared" si="0"/>
        <v>0</v>
      </c>
      <c r="Y22" s="111">
        <f t="shared" si="0"/>
        <v>0</v>
      </c>
      <c r="Z22" s="111">
        <f t="shared" si="0"/>
        <v>7880486</v>
      </c>
      <c r="AA22" s="111">
        <f t="shared" si="0"/>
        <v>10140476</v>
      </c>
    </row>
    <row r="23" spans="1:27" s="4" customFormat="1" ht="97.5" customHeight="1">
      <c r="A23" s="11" t="s">
        <v>17</v>
      </c>
      <c r="B23" s="11"/>
      <c r="C23" s="11"/>
      <c r="D23" s="12" t="s">
        <v>16</v>
      </c>
      <c r="E23" s="109" t="e">
        <f>E24+E28+E32+#REF!+#REF!+#REF!+#REF!+#REF!+#REF!+E36+#REF!+#REF!+E37+#REF!+#REF!+#REF!+E42+#REF!+E45+E46+#REF!+#REF!+#REF!</f>
        <v>#REF!</v>
      </c>
      <c r="F23" s="109" t="e">
        <f>F24+F28+F32+#REF!+#REF!+#REF!+#REF!+#REF!+#REF!+F36+#REF!+#REF!+F37+#REF!+#REF!+#REF!+F42+#REF!+F45+F46+#REF!+#REF!+#REF!</f>
        <v>#REF!</v>
      </c>
      <c r="G23" s="109" t="e">
        <f>G24+G28+G32+#REF!+#REF!+#REF!+#REF!+#REF!+#REF!+G36+#REF!+#REF!+G37+#REF!+#REF!+#REF!+G42+#REF!+G45+G46+#REF!+#REF!+#REF!</f>
        <v>#REF!</v>
      </c>
      <c r="H23" s="109" t="e">
        <f>H24+H28+H32+#REF!+#REF!+#REF!+#REF!+#REF!+#REF!+H36+#REF!+#REF!+H37+#REF!+#REF!+#REF!+H42+#REF!+H45+H46+#REF!+#REF!+#REF!</f>
        <v>#REF!</v>
      </c>
      <c r="I23" s="109" t="e">
        <f>I24+I28+I32+#REF!+#REF!+#REF!+#REF!+#REF!+#REF!+I36+#REF!+#REF!+I37+#REF!+#REF!+#REF!+I42+#REF!+I45+I46+#REF!+#REF!+#REF!</f>
        <v>#REF!</v>
      </c>
      <c r="J23" s="109" t="e">
        <f>J24+J28+J32+#REF!+#REF!+#REF!+#REF!+#REF!+#REF!+J36+#REF!+#REF!+J37+#REF!+#REF!+#REF!+J42+#REF!+J45+J46+#REF!+#REF!+#REF!</f>
        <v>#REF!</v>
      </c>
      <c r="K23" s="109" t="e">
        <f>K24+K28+K32+#REF!+#REF!+#REF!+#REF!+#REF!+#REF!+K36+#REF!+#REF!+K37+#REF!+#REF!+#REF!+K42+#REF!+K45+K46+#REF!+#REF!+#REF!</f>
        <v>#REF!</v>
      </c>
      <c r="L23" s="109" t="e">
        <f>L24+L28+L32+#REF!+#REF!+#REF!+#REF!+#REF!+#REF!+L36+#REF!+#REF!+L37+#REF!+#REF!+#REF!+L42+#REF!+L45+L46+#REF!+#REF!+#REF!</f>
        <v>#REF!</v>
      </c>
      <c r="M23" s="109" t="e">
        <f>M24+M28+M32+#REF!+#REF!+#REF!+#REF!+#REF!+#REF!+M36+#REF!+#REF!+M37+#REF!+#REF!+#REF!+M42+#REF!+M45+M46+#REF!+#REF!+#REF!</f>
        <v>#REF!</v>
      </c>
      <c r="N23" s="109" t="e">
        <f>N24+N28+N32+#REF!+#REF!+#REF!+#REF!+#REF!+#REF!+N36+#REF!+#REF!+N37+#REF!+#REF!+#REF!+N42+#REF!+N45+N46+#REF!+#REF!+#REF!</f>
        <v>#REF!</v>
      </c>
      <c r="O23" s="109" t="e">
        <f>O24+O28+O32+#REF!+#REF!+#REF!+#REF!+#REF!+#REF!+O36+#REF!+#REF!+O37+#REF!+#REF!+#REF!+O42+#REF!+O45+O46+#REF!+#REF!+#REF!</f>
        <v>#REF!</v>
      </c>
      <c r="P23" s="110">
        <f>Q23+T23</f>
        <v>2259990</v>
      </c>
      <c r="Q23" s="110">
        <f aca="true" t="shared" si="1" ref="Q23:Z23">Q24+Q28+Q32+Q36+Q37+Q38+Q39+Q40+Q41+Q42+Q43+Q44+Q45+Q46</f>
        <v>2259990</v>
      </c>
      <c r="R23" s="110">
        <f t="shared" si="1"/>
        <v>0</v>
      </c>
      <c r="S23" s="110">
        <f t="shared" si="1"/>
        <v>0</v>
      </c>
      <c r="T23" s="110">
        <f t="shared" si="1"/>
        <v>0</v>
      </c>
      <c r="U23" s="110">
        <f t="shared" si="1"/>
        <v>7880486</v>
      </c>
      <c r="V23" s="110">
        <f t="shared" si="1"/>
        <v>7880486</v>
      </c>
      <c r="W23" s="110">
        <f t="shared" si="1"/>
        <v>0</v>
      </c>
      <c r="X23" s="110">
        <f t="shared" si="1"/>
        <v>0</v>
      </c>
      <c r="Y23" s="110">
        <f t="shared" si="1"/>
        <v>0</v>
      </c>
      <c r="Z23" s="110">
        <f t="shared" si="1"/>
        <v>7880486</v>
      </c>
      <c r="AA23" s="113">
        <f>P23+U23</f>
        <v>10140476</v>
      </c>
    </row>
    <row r="24" spans="1:27" ht="321.75">
      <c r="A24" s="13" t="s">
        <v>18</v>
      </c>
      <c r="B24" s="13" t="s">
        <v>19</v>
      </c>
      <c r="C24" s="13" t="s">
        <v>20</v>
      </c>
      <c r="D24" s="16" t="s">
        <v>21</v>
      </c>
      <c r="E24" s="112">
        <f aca="true" t="shared" si="2" ref="E24:Y24">E26+E27</f>
        <v>0</v>
      </c>
      <c r="F24" s="112">
        <f t="shared" si="2"/>
        <v>0</v>
      </c>
      <c r="G24" s="112">
        <f t="shared" si="2"/>
        <v>0</v>
      </c>
      <c r="H24" s="112">
        <f t="shared" si="2"/>
        <v>0</v>
      </c>
      <c r="I24" s="112">
        <f t="shared" si="2"/>
        <v>0</v>
      </c>
      <c r="J24" s="112">
        <f t="shared" si="2"/>
        <v>0</v>
      </c>
      <c r="K24" s="112">
        <f t="shared" si="2"/>
        <v>0</v>
      </c>
      <c r="L24" s="112">
        <f t="shared" si="2"/>
        <v>0</v>
      </c>
      <c r="M24" s="112">
        <f t="shared" si="2"/>
        <v>0</v>
      </c>
      <c r="N24" s="112">
        <f t="shared" si="2"/>
        <v>0</v>
      </c>
      <c r="O24" s="112">
        <f t="shared" si="2"/>
        <v>0</v>
      </c>
      <c r="P24" s="112">
        <f>Q24+T24</f>
        <v>49985</v>
      </c>
      <c r="Q24" s="112">
        <f>Q26+Q27</f>
        <v>49985</v>
      </c>
      <c r="R24" s="112">
        <f t="shared" si="2"/>
        <v>0</v>
      </c>
      <c r="S24" s="112">
        <f t="shared" si="2"/>
        <v>0</v>
      </c>
      <c r="T24" s="112">
        <f t="shared" si="2"/>
        <v>0</v>
      </c>
      <c r="U24" s="112">
        <f t="shared" si="2"/>
        <v>0</v>
      </c>
      <c r="V24" s="112">
        <f t="shared" si="2"/>
        <v>0</v>
      </c>
      <c r="W24" s="112">
        <f t="shared" si="2"/>
        <v>0</v>
      </c>
      <c r="X24" s="112">
        <f t="shared" si="2"/>
        <v>0</v>
      </c>
      <c r="Y24" s="112">
        <f t="shared" si="2"/>
        <v>0</v>
      </c>
      <c r="Z24" s="19">
        <f>SUM(Z26:Z26)</f>
        <v>0</v>
      </c>
      <c r="AA24" s="113">
        <f>P24+U24</f>
        <v>49985</v>
      </c>
    </row>
    <row r="25" spans="1:27" ht="29.25" hidden="1">
      <c r="A25" s="13"/>
      <c r="B25" s="13"/>
      <c r="C25" s="13"/>
      <c r="D25" s="16" t="s">
        <v>22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2">
        <f aca="true" t="shared" si="3" ref="P25:P46">Q25+T25</f>
        <v>0</v>
      </c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3">
        <f aca="true" t="shared" si="4" ref="AA25:AA56">P25+U25</f>
        <v>0</v>
      </c>
    </row>
    <row r="26" spans="1:27" ht="117" hidden="1">
      <c r="A26" s="13"/>
      <c r="B26" s="13"/>
      <c r="C26" s="13"/>
      <c r="D26" s="14" t="s">
        <v>23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12">
        <f t="shared" si="3"/>
        <v>49985</v>
      </c>
      <c r="Q26" s="19">
        <v>49985</v>
      </c>
      <c r="R26" s="19"/>
      <c r="S26" s="19"/>
      <c r="T26" s="19"/>
      <c r="U26" s="19">
        <f>W26+Z26</f>
        <v>0</v>
      </c>
      <c r="V26" s="19"/>
      <c r="W26" s="19"/>
      <c r="X26" s="19"/>
      <c r="Y26" s="19"/>
      <c r="Z26" s="19">
        <f>V26</f>
        <v>0</v>
      </c>
      <c r="AA26" s="113">
        <f t="shared" si="4"/>
        <v>49985</v>
      </c>
    </row>
    <row r="27" spans="1:27" ht="117" hidden="1">
      <c r="A27" s="13"/>
      <c r="B27" s="13"/>
      <c r="C27" s="13"/>
      <c r="D27" s="14" t="s">
        <v>71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12">
        <f t="shared" si="3"/>
        <v>0</v>
      </c>
      <c r="Q27" s="19"/>
      <c r="R27" s="19"/>
      <c r="S27" s="19"/>
      <c r="T27" s="19"/>
      <c r="U27" s="19">
        <f aca="true" t="shared" si="5" ref="U27:U46">W27+Z27</f>
        <v>0</v>
      </c>
      <c r="V27" s="19"/>
      <c r="W27" s="19"/>
      <c r="X27" s="19"/>
      <c r="Y27" s="19"/>
      <c r="Z27" s="19"/>
      <c r="AA27" s="113">
        <f t="shared" si="4"/>
        <v>0</v>
      </c>
    </row>
    <row r="28" spans="1:27" ht="117.75" customHeight="1">
      <c r="A28" s="13" t="s">
        <v>24</v>
      </c>
      <c r="B28" s="13" t="s">
        <v>25</v>
      </c>
      <c r="C28" s="13" t="s">
        <v>26</v>
      </c>
      <c r="D28" s="14" t="s">
        <v>27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12">
        <f t="shared" si="3"/>
        <v>1093497</v>
      </c>
      <c r="Q28" s="19">
        <f>SUM(Q30:Q31)</f>
        <v>1093497</v>
      </c>
      <c r="R28" s="19">
        <f aca="true" t="shared" si="6" ref="R28:Z28">SUM(R30:R31)</f>
        <v>0</v>
      </c>
      <c r="S28" s="19">
        <f t="shared" si="6"/>
        <v>0</v>
      </c>
      <c r="T28" s="19">
        <f t="shared" si="6"/>
        <v>0</v>
      </c>
      <c r="U28" s="19">
        <f t="shared" si="6"/>
        <v>823300</v>
      </c>
      <c r="V28" s="19">
        <f t="shared" si="6"/>
        <v>823300</v>
      </c>
      <c r="W28" s="19">
        <f t="shared" si="6"/>
        <v>0</v>
      </c>
      <c r="X28" s="19">
        <f t="shared" si="6"/>
        <v>0</v>
      </c>
      <c r="Y28" s="19">
        <f t="shared" si="6"/>
        <v>0</v>
      </c>
      <c r="Z28" s="19">
        <f t="shared" si="6"/>
        <v>823300</v>
      </c>
      <c r="AA28" s="113">
        <f t="shared" si="4"/>
        <v>1916797</v>
      </c>
    </row>
    <row r="29" spans="1:27" ht="29.25" hidden="1">
      <c r="A29" s="13"/>
      <c r="B29" s="13"/>
      <c r="C29" s="13"/>
      <c r="D29" s="14" t="s">
        <v>22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12">
        <f t="shared" si="3"/>
        <v>0</v>
      </c>
      <c r="Q29" s="19"/>
      <c r="R29" s="19"/>
      <c r="S29" s="19"/>
      <c r="T29" s="19"/>
      <c r="U29" s="19">
        <f t="shared" si="5"/>
        <v>0</v>
      </c>
      <c r="V29" s="19"/>
      <c r="W29" s="19"/>
      <c r="X29" s="19"/>
      <c r="Y29" s="19"/>
      <c r="Z29" s="19">
        <f aca="true" t="shared" si="7" ref="Z29:Z46">V29</f>
        <v>0</v>
      </c>
      <c r="AA29" s="113">
        <f t="shared" si="4"/>
        <v>0</v>
      </c>
    </row>
    <row r="30" spans="1:27" ht="204.75" hidden="1">
      <c r="A30" s="13"/>
      <c r="B30" s="13"/>
      <c r="C30" s="13"/>
      <c r="D30" s="115" t="s">
        <v>28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12">
        <f t="shared" si="3"/>
        <v>0</v>
      </c>
      <c r="Q30" s="19"/>
      <c r="R30" s="19"/>
      <c r="S30" s="19"/>
      <c r="T30" s="19"/>
      <c r="U30" s="19">
        <f t="shared" si="5"/>
        <v>0</v>
      </c>
      <c r="V30" s="19"/>
      <c r="W30" s="19"/>
      <c r="X30" s="19"/>
      <c r="Y30" s="19"/>
      <c r="Z30" s="19">
        <f t="shared" si="7"/>
        <v>0</v>
      </c>
      <c r="AA30" s="113">
        <f t="shared" si="4"/>
        <v>0</v>
      </c>
    </row>
    <row r="31" spans="1:27" ht="58.5" hidden="1">
      <c r="A31" s="13"/>
      <c r="B31" s="13"/>
      <c r="C31" s="13"/>
      <c r="D31" s="14" t="s">
        <v>29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12">
        <f t="shared" si="3"/>
        <v>1093497</v>
      </c>
      <c r="Q31" s="19">
        <f>883497+210000</f>
        <v>1093497</v>
      </c>
      <c r="R31" s="19"/>
      <c r="S31" s="19"/>
      <c r="T31" s="19"/>
      <c r="U31" s="19">
        <f t="shared" si="5"/>
        <v>823300</v>
      </c>
      <c r="V31" s="19">
        <f>823300</f>
        <v>823300</v>
      </c>
      <c r="W31" s="19"/>
      <c r="X31" s="19"/>
      <c r="Y31" s="19"/>
      <c r="Z31" s="19">
        <f t="shared" si="7"/>
        <v>823300</v>
      </c>
      <c r="AA31" s="113">
        <f t="shared" si="4"/>
        <v>1916797</v>
      </c>
    </row>
    <row r="32" spans="1:27" ht="186" customHeight="1">
      <c r="A32" s="13" t="s">
        <v>30</v>
      </c>
      <c r="B32" s="13" t="s">
        <v>31</v>
      </c>
      <c r="C32" s="13" t="s">
        <v>32</v>
      </c>
      <c r="D32" s="14" t="s">
        <v>211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12">
        <f t="shared" si="3"/>
        <v>0</v>
      </c>
      <c r="Q32" s="19"/>
      <c r="R32" s="19">
        <f aca="true" t="shared" si="8" ref="R32:Y32">R33+R34</f>
        <v>0</v>
      </c>
      <c r="S32" s="19">
        <f t="shared" si="8"/>
        <v>0</v>
      </c>
      <c r="T32" s="19">
        <f t="shared" si="8"/>
        <v>0</v>
      </c>
      <c r="U32" s="19">
        <f t="shared" si="5"/>
        <v>300000</v>
      </c>
      <c r="V32" s="19">
        <f>300000</f>
        <v>300000</v>
      </c>
      <c r="W32" s="19">
        <f t="shared" si="8"/>
        <v>0</v>
      </c>
      <c r="X32" s="19">
        <f t="shared" si="8"/>
        <v>0</v>
      </c>
      <c r="Y32" s="19">
        <f t="shared" si="8"/>
        <v>0</v>
      </c>
      <c r="Z32" s="19">
        <f t="shared" si="7"/>
        <v>300000</v>
      </c>
      <c r="AA32" s="113">
        <f t="shared" si="4"/>
        <v>300000</v>
      </c>
    </row>
    <row r="33" spans="1:27" ht="61.5" customHeight="1" hidden="1">
      <c r="A33" s="13"/>
      <c r="B33" s="13"/>
      <c r="C33" s="13"/>
      <c r="D33" s="14" t="s">
        <v>29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12">
        <f>Q33</f>
        <v>1357640</v>
      </c>
      <c r="Q33" s="19">
        <v>1357640</v>
      </c>
      <c r="R33" s="19"/>
      <c r="S33" s="19"/>
      <c r="T33" s="19"/>
      <c r="U33" s="19"/>
      <c r="V33" s="19"/>
      <c r="W33" s="19"/>
      <c r="X33" s="19"/>
      <c r="Y33" s="19"/>
      <c r="Z33" s="19"/>
      <c r="AA33" s="113">
        <f t="shared" si="4"/>
        <v>1357640</v>
      </c>
    </row>
    <row r="34" spans="1:27" ht="51.75" customHeight="1" hidden="1">
      <c r="A34" s="13"/>
      <c r="B34" s="13"/>
      <c r="C34" s="13"/>
      <c r="D34" s="14" t="s">
        <v>201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12">
        <f>Q34</f>
        <v>106316</v>
      </c>
      <c r="Q34" s="19">
        <v>106316</v>
      </c>
      <c r="R34" s="19"/>
      <c r="S34" s="19"/>
      <c r="T34" s="19"/>
      <c r="U34" s="19"/>
      <c r="V34" s="19"/>
      <c r="W34" s="19"/>
      <c r="X34" s="19"/>
      <c r="Y34" s="19"/>
      <c r="Z34" s="19"/>
      <c r="AA34" s="113">
        <f t="shared" si="4"/>
        <v>106316</v>
      </c>
    </row>
    <row r="35" spans="1:27" ht="87.75" hidden="1">
      <c r="A35" s="13" t="s">
        <v>57</v>
      </c>
      <c r="B35" s="13" t="s">
        <v>58</v>
      </c>
      <c r="C35" s="13" t="s">
        <v>33</v>
      </c>
      <c r="D35" s="14" t="s">
        <v>59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12">
        <f t="shared" si="3"/>
        <v>0</v>
      </c>
      <c r="Q35" s="19"/>
      <c r="R35" s="19"/>
      <c r="S35" s="19"/>
      <c r="T35" s="19"/>
      <c r="U35" s="19">
        <f t="shared" si="5"/>
        <v>0</v>
      </c>
      <c r="V35" s="19"/>
      <c r="W35" s="19"/>
      <c r="X35" s="19"/>
      <c r="Y35" s="19"/>
      <c r="Z35" s="19">
        <f t="shared" si="7"/>
        <v>0</v>
      </c>
      <c r="AA35" s="113">
        <f t="shared" si="4"/>
        <v>0</v>
      </c>
    </row>
    <row r="36" spans="1:27" ht="175.5" hidden="1">
      <c r="A36" s="13" t="s">
        <v>36</v>
      </c>
      <c r="B36" s="13" t="s">
        <v>37</v>
      </c>
      <c r="C36" s="13" t="s">
        <v>33</v>
      </c>
      <c r="D36" s="14" t="s">
        <v>38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12">
        <f t="shared" si="3"/>
        <v>0</v>
      </c>
      <c r="Q36" s="19"/>
      <c r="R36" s="19"/>
      <c r="S36" s="19"/>
      <c r="T36" s="19"/>
      <c r="U36" s="19">
        <f t="shared" si="5"/>
        <v>0</v>
      </c>
      <c r="V36" s="19"/>
      <c r="W36" s="19"/>
      <c r="X36" s="19"/>
      <c r="Y36" s="19"/>
      <c r="Z36" s="19">
        <f t="shared" si="7"/>
        <v>0</v>
      </c>
      <c r="AA36" s="113">
        <f t="shared" si="4"/>
        <v>0</v>
      </c>
    </row>
    <row r="37" spans="1:27" ht="409.5" hidden="1">
      <c r="A37" s="13" t="s">
        <v>68</v>
      </c>
      <c r="B37" s="13" t="s">
        <v>69</v>
      </c>
      <c r="C37" s="13" t="s">
        <v>41</v>
      </c>
      <c r="D37" s="180" t="s">
        <v>70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12">
        <f t="shared" si="3"/>
        <v>0</v>
      </c>
      <c r="Q37" s="19"/>
      <c r="R37" s="19"/>
      <c r="S37" s="19"/>
      <c r="T37" s="19"/>
      <c r="U37" s="19">
        <f t="shared" si="5"/>
        <v>0</v>
      </c>
      <c r="V37" s="19"/>
      <c r="W37" s="19"/>
      <c r="X37" s="19"/>
      <c r="Y37" s="19"/>
      <c r="Z37" s="19">
        <f t="shared" si="7"/>
        <v>0</v>
      </c>
      <c r="AA37" s="113">
        <f t="shared" si="4"/>
        <v>0</v>
      </c>
    </row>
    <row r="38" spans="1:27" ht="87.75">
      <c r="A38" s="13" t="s">
        <v>174</v>
      </c>
      <c r="B38" s="13" t="s">
        <v>175</v>
      </c>
      <c r="C38" s="13" t="s">
        <v>42</v>
      </c>
      <c r="D38" s="14" t="s">
        <v>176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12"/>
      <c r="Q38" s="19"/>
      <c r="R38" s="19"/>
      <c r="S38" s="19"/>
      <c r="T38" s="19"/>
      <c r="U38" s="19">
        <f t="shared" si="5"/>
        <v>1507267</v>
      </c>
      <c r="V38" s="19">
        <f>240000+272405+994862</f>
        <v>1507267</v>
      </c>
      <c r="W38" s="19"/>
      <c r="X38" s="19"/>
      <c r="Y38" s="19"/>
      <c r="Z38" s="19">
        <f t="shared" si="7"/>
        <v>1507267</v>
      </c>
      <c r="AA38" s="113">
        <f t="shared" si="4"/>
        <v>1507267</v>
      </c>
    </row>
    <row r="39" spans="1:27" ht="87.75">
      <c r="A39" s="13" t="s">
        <v>66</v>
      </c>
      <c r="B39" s="13" t="s">
        <v>54</v>
      </c>
      <c r="C39" s="13" t="s">
        <v>42</v>
      </c>
      <c r="D39" s="14" t="s">
        <v>67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12">
        <f t="shared" si="3"/>
        <v>0</v>
      </c>
      <c r="Q39" s="19"/>
      <c r="R39" s="19"/>
      <c r="S39" s="19"/>
      <c r="T39" s="19"/>
      <c r="U39" s="19">
        <f t="shared" si="5"/>
        <v>2129814</v>
      </c>
      <c r="V39" s="19">
        <f>29814+2000000+100000</f>
        <v>2129814</v>
      </c>
      <c r="W39" s="19"/>
      <c r="X39" s="19"/>
      <c r="Y39" s="19"/>
      <c r="Z39" s="19">
        <f t="shared" si="7"/>
        <v>2129814</v>
      </c>
      <c r="AA39" s="113">
        <f t="shared" si="4"/>
        <v>2129814</v>
      </c>
    </row>
    <row r="40" spans="1:27" ht="117" hidden="1">
      <c r="A40" s="13" t="s">
        <v>234</v>
      </c>
      <c r="B40" s="13" t="s">
        <v>212</v>
      </c>
      <c r="C40" s="24" t="s">
        <v>42</v>
      </c>
      <c r="D40" s="121" t="s">
        <v>213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12"/>
      <c r="Q40" s="19"/>
      <c r="R40" s="19"/>
      <c r="S40" s="19"/>
      <c r="T40" s="19"/>
      <c r="U40" s="19">
        <f t="shared" si="5"/>
        <v>0</v>
      </c>
      <c r="V40" s="19"/>
      <c r="W40" s="19"/>
      <c r="X40" s="19"/>
      <c r="Y40" s="19"/>
      <c r="Z40" s="19">
        <f t="shared" si="7"/>
        <v>0</v>
      </c>
      <c r="AA40" s="113">
        <f t="shared" si="4"/>
        <v>0</v>
      </c>
    </row>
    <row r="41" spans="1:27" ht="234">
      <c r="A41" s="13" t="s">
        <v>62</v>
      </c>
      <c r="B41" s="13" t="s">
        <v>60</v>
      </c>
      <c r="C41" s="13" t="s">
        <v>43</v>
      </c>
      <c r="D41" s="14" t="s">
        <v>61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2">
        <f t="shared" si="3"/>
        <v>0</v>
      </c>
      <c r="Q41" s="19"/>
      <c r="R41" s="19"/>
      <c r="S41" s="19"/>
      <c r="T41" s="19"/>
      <c r="U41" s="19">
        <f t="shared" si="5"/>
        <v>1842625</v>
      </c>
      <c r="V41" s="19">
        <f>1842625</f>
        <v>1842625</v>
      </c>
      <c r="W41" s="19"/>
      <c r="X41" s="19"/>
      <c r="Y41" s="19"/>
      <c r="Z41" s="19">
        <f t="shared" si="7"/>
        <v>1842625</v>
      </c>
      <c r="AA41" s="113">
        <f t="shared" si="4"/>
        <v>1842625</v>
      </c>
    </row>
    <row r="42" spans="1:27" ht="204.75">
      <c r="A42" s="13" t="s">
        <v>44</v>
      </c>
      <c r="B42" s="13" t="s">
        <v>45</v>
      </c>
      <c r="C42" s="13" t="s">
        <v>46</v>
      </c>
      <c r="D42" s="14" t="s">
        <v>47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2">
        <f t="shared" si="3"/>
        <v>0</v>
      </c>
      <c r="Q42" s="19"/>
      <c r="R42" s="19"/>
      <c r="S42" s="19"/>
      <c r="T42" s="19"/>
      <c r="U42" s="19">
        <f t="shared" si="5"/>
        <v>22680</v>
      </c>
      <c r="V42" s="19">
        <f>22680</f>
        <v>22680</v>
      </c>
      <c r="W42" s="19"/>
      <c r="X42" s="19"/>
      <c r="Y42" s="19"/>
      <c r="Z42" s="19">
        <f t="shared" si="7"/>
        <v>22680</v>
      </c>
      <c r="AA42" s="113">
        <f t="shared" si="4"/>
        <v>22680</v>
      </c>
    </row>
    <row r="43" spans="1:27" ht="87.75" hidden="1">
      <c r="A43" s="13" t="s">
        <v>256</v>
      </c>
      <c r="B43" s="13" t="s">
        <v>257</v>
      </c>
      <c r="C43" s="13" t="s">
        <v>46</v>
      </c>
      <c r="D43" s="14" t="s">
        <v>258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2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13">
        <f t="shared" si="4"/>
        <v>0</v>
      </c>
    </row>
    <row r="44" spans="1:27" ht="96" customHeight="1">
      <c r="A44" s="13" t="s">
        <v>63</v>
      </c>
      <c r="B44" s="13" t="s">
        <v>64</v>
      </c>
      <c r="C44" s="13" t="s">
        <v>43</v>
      </c>
      <c r="D44" s="118" t="s">
        <v>65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12">
        <f t="shared" si="3"/>
        <v>0</v>
      </c>
      <c r="Q44" s="19"/>
      <c r="R44" s="19"/>
      <c r="S44" s="19"/>
      <c r="T44" s="19"/>
      <c r="U44" s="19">
        <f t="shared" si="5"/>
        <v>1254800</v>
      </c>
      <c r="V44" s="19">
        <f>1000000+254800</f>
        <v>1254800</v>
      </c>
      <c r="W44" s="19"/>
      <c r="X44" s="19"/>
      <c r="Y44" s="19"/>
      <c r="Z44" s="19">
        <f t="shared" si="7"/>
        <v>1254800</v>
      </c>
      <c r="AA44" s="113">
        <f t="shared" si="4"/>
        <v>1254800</v>
      </c>
    </row>
    <row r="45" spans="1:27" ht="87.75">
      <c r="A45" s="13" t="s">
        <v>48</v>
      </c>
      <c r="B45" s="13" t="s">
        <v>49</v>
      </c>
      <c r="C45" s="13" t="s">
        <v>43</v>
      </c>
      <c r="D45" s="14" t="s">
        <v>87</v>
      </c>
      <c r="E45" s="19" t="e">
        <f>SUM(#REF!)</f>
        <v>#REF!</v>
      </c>
      <c r="F45" s="19" t="e">
        <f>SUM(#REF!)</f>
        <v>#REF!</v>
      </c>
      <c r="G45" s="19" t="e">
        <f>SUM(#REF!)</f>
        <v>#REF!</v>
      </c>
      <c r="H45" s="19" t="e">
        <f>SUM(#REF!)</f>
        <v>#REF!</v>
      </c>
      <c r="I45" s="19" t="e">
        <f>SUM(#REF!)</f>
        <v>#REF!</v>
      </c>
      <c r="J45" s="19" t="e">
        <f>SUM(#REF!)</f>
        <v>#REF!</v>
      </c>
      <c r="K45" s="19" t="e">
        <f>SUM(#REF!)</f>
        <v>#REF!</v>
      </c>
      <c r="L45" s="19" t="e">
        <f>SUM(#REF!)</f>
        <v>#REF!</v>
      </c>
      <c r="M45" s="19" t="e">
        <f>SUM(#REF!)</f>
        <v>#REF!</v>
      </c>
      <c r="N45" s="19" t="e">
        <f>SUM(#REF!)</f>
        <v>#REF!</v>
      </c>
      <c r="O45" s="19" t="e">
        <f>SUM(#REF!)</f>
        <v>#REF!</v>
      </c>
      <c r="P45" s="112">
        <f t="shared" si="3"/>
        <v>1116508</v>
      </c>
      <c r="Q45" s="19">
        <f>1100000+16508</f>
        <v>1116508</v>
      </c>
      <c r="R45" s="19"/>
      <c r="S45" s="19"/>
      <c r="T45" s="19"/>
      <c r="U45" s="19">
        <f t="shared" si="5"/>
        <v>0</v>
      </c>
      <c r="V45" s="19"/>
      <c r="W45" s="19"/>
      <c r="X45" s="19"/>
      <c r="Y45" s="19"/>
      <c r="Z45" s="19">
        <f t="shared" si="7"/>
        <v>0</v>
      </c>
      <c r="AA45" s="113">
        <f t="shared" si="4"/>
        <v>1116508</v>
      </c>
    </row>
    <row r="46" spans="1:27" ht="87.75" hidden="1">
      <c r="A46" s="13" t="s">
        <v>50</v>
      </c>
      <c r="B46" s="13" t="s">
        <v>51</v>
      </c>
      <c r="C46" s="13" t="s">
        <v>52</v>
      </c>
      <c r="D46" s="14" t="s">
        <v>53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12">
        <f t="shared" si="3"/>
        <v>0</v>
      </c>
      <c r="Q46" s="19"/>
      <c r="R46" s="19"/>
      <c r="S46" s="19"/>
      <c r="T46" s="19"/>
      <c r="U46" s="19">
        <f t="shared" si="5"/>
        <v>0</v>
      </c>
      <c r="V46" s="19"/>
      <c r="W46" s="19"/>
      <c r="X46" s="19"/>
      <c r="Y46" s="19"/>
      <c r="Z46" s="19">
        <f t="shared" si="7"/>
        <v>0</v>
      </c>
      <c r="AA46" s="113">
        <f t="shared" si="4"/>
        <v>0</v>
      </c>
    </row>
    <row r="47" spans="1:27" ht="87.75">
      <c r="A47" s="11" t="s">
        <v>136</v>
      </c>
      <c r="B47" s="11"/>
      <c r="C47" s="11"/>
      <c r="D47" s="12" t="s">
        <v>74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19">
        <f>P48</f>
        <v>245098</v>
      </c>
      <c r="Q47" s="119">
        <f aca="true" t="shared" si="9" ref="Q47:AA47">Q48</f>
        <v>245098</v>
      </c>
      <c r="R47" s="119">
        <f t="shared" si="9"/>
        <v>0</v>
      </c>
      <c r="S47" s="119">
        <f t="shared" si="9"/>
        <v>0</v>
      </c>
      <c r="T47" s="119">
        <f t="shared" si="9"/>
        <v>0</v>
      </c>
      <c r="U47" s="119">
        <f t="shared" si="9"/>
        <v>-397771</v>
      </c>
      <c r="V47" s="119">
        <f t="shared" si="9"/>
        <v>-397771</v>
      </c>
      <c r="W47" s="119">
        <f t="shared" si="9"/>
        <v>0</v>
      </c>
      <c r="X47" s="119">
        <f t="shared" si="9"/>
        <v>0</v>
      </c>
      <c r="Y47" s="119">
        <f t="shared" si="9"/>
        <v>0</v>
      </c>
      <c r="Z47" s="119">
        <f t="shared" si="9"/>
        <v>-397771</v>
      </c>
      <c r="AA47" s="119">
        <f t="shared" si="9"/>
        <v>-152673</v>
      </c>
    </row>
    <row r="48" spans="1:27" ht="87.75">
      <c r="A48" s="11" t="s">
        <v>73</v>
      </c>
      <c r="B48" s="11"/>
      <c r="C48" s="11"/>
      <c r="D48" s="12" t="s">
        <v>74</v>
      </c>
      <c r="E48" s="113" t="e">
        <f>#REF!+E49+#REF!+#REF!+#REF!+#REF!+#REF!+#REF!+#REF!</f>
        <v>#REF!</v>
      </c>
      <c r="F48" s="113" t="e">
        <f>#REF!+F49+#REF!+#REF!+#REF!+#REF!+#REF!+#REF!+#REF!</f>
        <v>#REF!</v>
      </c>
      <c r="G48" s="113" t="e">
        <f>#REF!+G49+#REF!+#REF!+#REF!+#REF!+#REF!+#REF!+#REF!</f>
        <v>#REF!</v>
      </c>
      <c r="H48" s="113" t="e">
        <f>#REF!+H49+#REF!+#REF!+#REF!+#REF!+#REF!+#REF!+#REF!</f>
        <v>#REF!</v>
      </c>
      <c r="I48" s="113" t="e">
        <f>#REF!+I49+#REF!+#REF!+#REF!+#REF!+#REF!+#REF!+#REF!</f>
        <v>#REF!</v>
      </c>
      <c r="J48" s="113" t="e">
        <f>#REF!+J49+#REF!+#REF!+#REF!+#REF!+#REF!+#REF!+#REF!</f>
        <v>#REF!</v>
      </c>
      <c r="K48" s="113" t="e">
        <f>#REF!+K49+#REF!+#REF!+#REF!+#REF!+#REF!+#REF!+#REF!</f>
        <v>#REF!</v>
      </c>
      <c r="L48" s="113" t="e">
        <f>#REF!+L49+#REF!+#REF!+#REF!+#REF!+#REF!+#REF!+#REF!</f>
        <v>#REF!</v>
      </c>
      <c r="M48" s="113" t="e">
        <f>#REF!+M49+#REF!+#REF!+#REF!+#REF!+#REF!+#REF!+#REF!</f>
        <v>#REF!</v>
      </c>
      <c r="N48" s="113" t="e">
        <f>#REF!+N49+#REF!+#REF!+#REF!+#REF!+#REF!+#REF!+#REF!</f>
        <v>#REF!</v>
      </c>
      <c r="O48" s="113" t="e">
        <f>#REF!+O49+#REF!+#REF!+#REF!+#REF!+#REF!+#REF!+#REF!</f>
        <v>#REF!</v>
      </c>
      <c r="P48" s="113">
        <f>Q48+T48</f>
        <v>245098</v>
      </c>
      <c r="Q48" s="113">
        <f>Q49+Q50+Q53+Q54</f>
        <v>245098</v>
      </c>
      <c r="R48" s="113">
        <f aca="true" t="shared" si="10" ref="R48:Z48">R49+R50+R53+R54</f>
        <v>0</v>
      </c>
      <c r="S48" s="113">
        <f t="shared" si="10"/>
        <v>0</v>
      </c>
      <c r="T48" s="113">
        <f t="shared" si="10"/>
        <v>0</v>
      </c>
      <c r="U48" s="113">
        <f t="shared" si="10"/>
        <v>-397771</v>
      </c>
      <c r="V48" s="113">
        <f t="shared" si="10"/>
        <v>-397771</v>
      </c>
      <c r="W48" s="113">
        <f t="shared" si="10"/>
        <v>0</v>
      </c>
      <c r="X48" s="113">
        <f t="shared" si="10"/>
        <v>0</v>
      </c>
      <c r="Y48" s="113">
        <f t="shared" si="10"/>
        <v>0</v>
      </c>
      <c r="Z48" s="113">
        <f t="shared" si="10"/>
        <v>-397771</v>
      </c>
      <c r="AA48" s="113">
        <f t="shared" si="4"/>
        <v>-152673</v>
      </c>
    </row>
    <row r="49" spans="1:27" ht="58.5">
      <c r="A49" s="13" t="s">
        <v>76</v>
      </c>
      <c r="B49" s="13" t="s">
        <v>77</v>
      </c>
      <c r="C49" s="13" t="s">
        <v>78</v>
      </c>
      <c r="D49" s="14" t="s">
        <v>79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>Q49+T49</f>
        <v>198203</v>
      </c>
      <c r="Q49" s="19">
        <f>19895+34045+35000+59330+49933</f>
        <v>198203</v>
      </c>
      <c r="R49" s="19"/>
      <c r="S49" s="19"/>
      <c r="T49" s="19"/>
      <c r="U49" s="19"/>
      <c r="V49" s="19"/>
      <c r="W49" s="19"/>
      <c r="X49" s="19"/>
      <c r="Y49" s="19"/>
      <c r="Z49" s="120"/>
      <c r="AA49" s="113">
        <f t="shared" si="4"/>
        <v>198203</v>
      </c>
    </row>
    <row r="50" spans="1:27" s="168" customFormat="1" ht="117">
      <c r="A50" s="13" t="s">
        <v>205</v>
      </c>
      <c r="B50" s="13" t="s">
        <v>206</v>
      </c>
      <c r="C50" s="13" t="s">
        <v>80</v>
      </c>
      <c r="D50" s="14" t="s">
        <v>207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66">
        <f>P51+P52</f>
        <v>46895</v>
      </c>
      <c r="Q50" s="166">
        <f aca="true" t="shared" si="11" ref="Q50:AA50">Q51+Q52</f>
        <v>46895</v>
      </c>
      <c r="R50" s="166">
        <f t="shared" si="11"/>
        <v>0</v>
      </c>
      <c r="S50" s="166">
        <f t="shared" si="11"/>
        <v>0</v>
      </c>
      <c r="T50" s="166">
        <f t="shared" si="11"/>
        <v>0</v>
      </c>
      <c r="U50" s="166"/>
      <c r="V50" s="166"/>
      <c r="W50" s="166"/>
      <c r="X50" s="166"/>
      <c r="Y50" s="166"/>
      <c r="Z50" s="166">
        <f t="shared" si="11"/>
        <v>0</v>
      </c>
      <c r="AA50" s="167">
        <f t="shared" si="11"/>
        <v>46895</v>
      </c>
    </row>
    <row r="51" spans="1:27" ht="58.5" hidden="1">
      <c r="A51" s="13"/>
      <c r="B51" s="13"/>
      <c r="C51" s="13"/>
      <c r="D51" s="14" t="s">
        <v>29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>Q51+T51</f>
        <v>46895</v>
      </c>
      <c r="Q51" s="19">
        <f>46895</f>
        <v>46895</v>
      </c>
      <c r="R51" s="19"/>
      <c r="S51" s="19"/>
      <c r="T51" s="19"/>
      <c r="U51" s="19"/>
      <c r="V51" s="19"/>
      <c r="W51" s="19"/>
      <c r="X51" s="19"/>
      <c r="Y51" s="19"/>
      <c r="Z51" s="120"/>
      <c r="AA51" s="113">
        <f>P51+U51</f>
        <v>46895</v>
      </c>
    </row>
    <row r="52" spans="1:27" ht="29.25" hidden="1">
      <c r="A52" s="13"/>
      <c r="B52" s="13"/>
      <c r="C52" s="13"/>
      <c r="D52" s="14" t="s">
        <v>210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20"/>
      <c r="AA52" s="113">
        <f>P52+U52</f>
        <v>0</v>
      </c>
    </row>
    <row r="53" spans="1:27" ht="78" customHeight="1">
      <c r="A53" s="24" t="s">
        <v>214</v>
      </c>
      <c r="B53" s="24" t="s">
        <v>215</v>
      </c>
      <c r="C53" s="24" t="s">
        <v>42</v>
      </c>
      <c r="D53" s="121" t="s">
        <v>216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f>W53+Z53</f>
        <v>200000</v>
      </c>
      <c r="V53" s="19">
        <f>200000</f>
        <v>200000</v>
      </c>
      <c r="W53" s="19"/>
      <c r="X53" s="19"/>
      <c r="Y53" s="19"/>
      <c r="Z53" s="19">
        <f>V53</f>
        <v>200000</v>
      </c>
      <c r="AA53" s="113">
        <f t="shared" si="4"/>
        <v>200000</v>
      </c>
    </row>
    <row r="54" spans="1:27" ht="234">
      <c r="A54" s="24" t="s">
        <v>132</v>
      </c>
      <c r="B54" s="24" t="s">
        <v>60</v>
      </c>
      <c r="C54" s="24" t="s">
        <v>43</v>
      </c>
      <c r="D54" s="121" t="s">
        <v>61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>Q54+T54</f>
        <v>0</v>
      </c>
      <c r="Q54" s="19"/>
      <c r="R54" s="19"/>
      <c r="S54" s="19"/>
      <c r="T54" s="19"/>
      <c r="U54" s="19">
        <f>W54+Z54</f>
        <v>-597771</v>
      </c>
      <c r="V54" s="19">
        <f>-597771</f>
        <v>-597771</v>
      </c>
      <c r="W54" s="19"/>
      <c r="X54" s="19"/>
      <c r="Y54" s="19"/>
      <c r="Z54" s="19">
        <f>V54</f>
        <v>-597771</v>
      </c>
      <c r="AA54" s="113">
        <f t="shared" si="4"/>
        <v>-597771</v>
      </c>
    </row>
    <row r="55" spans="1:27" ht="157.5" customHeight="1">
      <c r="A55" s="11" t="s">
        <v>137</v>
      </c>
      <c r="B55" s="11"/>
      <c r="C55" s="11"/>
      <c r="D55" s="1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13">
        <f>P56</f>
        <v>0</v>
      </c>
      <c r="Q55" s="113">
        <f aca="true" t="shared" si="12" ref="Q55:AA55">Q56</f>
        <v>0</v>
      </c>
      <c r="R55" s="113">
        <f t="shared" si="12"/>
        <v>0</v>
      </c>
      <c r="S55" s="113">
        <f t="shared" si="12"/>
        <v>0</v>
      </c>
      <c r="T55" s="113">
        <f t="shared" si="12"/>
        <v>0</v>
      </c>
      <c r="U55" s="113">
        <f t="shared" si="12"/>
        <v>100000</v>
      </c>
      <c r="V55" s="113">
        <f t="shared" si="12"/>
        <v>100000</v>
      </c>
      <c r="W55" s="113">
        <f t="shared" si="12"/>
        <v>0</v>
      </c>
      <c r="X55" s="113">
        <f t="shared" si="12"/>
        <v>0</v>
      </c>
      <c r="Y55" s="113">
        <f t="shared" si="12"/>
        <v>0</v>
      </c>
      <c r="Z55" s="113">
        <f t="shared" si="12"/>
        <v>100000</v>
      </c>
      <c r="AA55" s="113">
        <f t="shared" si="12"/>
        <v>100000</v>
      </c>
    </row>
    <row r="56" spans="1:27" ht="165.75" customHeight="1">
      <c r="A56" s="11" t="s">
        <v>85</v>
      </c>
      <c r="B56" s="11"/>
      <c r="C56" s="11"/>
      <c r="D56" s="12" t="s">
        <v>86</v>
      </c>
      <c r="E56" s="113">
        <f aca="true" t="shared" si="13" ref="E56:O56">SUM(E57:E57)</f>
        <v>0</v>
      </c>
      <c r="F56" s="113">
        <f t="shared" si="13"/>
        <v>0</v>
      </c>
      <c r="G56" s="113">
        <f t="shared" si="13"/>
        <v>0</v>
      </c>
      <c r="H56" s="113">
        <f t="shared" si="13"/>
        <v>0</v>
      </c>
      <c r="I56" s="113">
        <f t="shared" si="13"/>
        <v>0</v>
      </c>
      <c r="J56" s="113">
        <f t="shared" si="13"/>
        <v>0</v>
      </c>
      <c r="K56" s="113">
        <f t="shared" si="13"/>
        <v>0</v>
      </c>
      <c r="L56" s="113">
        <f t="shared" si="13"/>
        <v>0</v>
      </c>
      <c r="M56" s="113">
        <f t="shared" si="13"/>
        <v>0</v>
      </c>
      <c r="N56" s="113">
        <f t="shared" si="13"/>
        <v>0</v>
      </c>
      <c r="O56" s="113">
        <f t="shared" si="13"/>
        <v>0</v>
      </c>
      <c r="P56" s="113">
        <f>Q56+T56</f>
        <v>0</v>
      </c>
      <c r="Q56" s="113">
        <f>SUM(Q57:Q57)</f>
        <v>0</v>
      </c>
      <c r="R56" s="113">
        <f>SUM(R57:R57)</f>
        <v>0</v>
      </c>
      <c r="S56" s="113">
        <f>SUM(S57:S57)</f>
        <v>0</v>
      </c>
      <c r="T56" s="113">
        <f>SUM(T57:T57)</f>
        <v>0</v>
      </c>
      <c r="U56" s="113">
        <f>W56+Z56</f>
        <v>100000</v>
      </c>
      <c r="V56" s="113">
        <f>SUM(V57:V57)</f>
        <v>100000</v>
      </c>
      <c r="W56" s="113">
        <f>SUM(W57:W57)</f>
        <v>0</v>
      </c>
      <c r="X56" s="113">
        <f>SUM(X57:X57)</f>
        <v>0</v>
      </c>
      <c r="Y56" s="113">
        <f>SUM(Y57:Y57)</f>
        <v>0</v>
      </c>
      <c r="Z56" s="113">
        <f>SUM(Z57:Z57)</f>
        <v>100000</v>
      </c>
      <c r="AA56" s="113">
        <f t="shared" si="4"/>
        <v>100000</v>
      </c>
    </row>
    <row r="57" spans="1:27" ht="117">
      <c r="A57" s="25" t="s">
        <v>233</v>
      </c>
      <c r="B57" s="25" t="s">
        <v>212</v>
      </c>
      <c r="C57" s="24" t="s">
        <v>42</v>
      </c>
      <c r="D57" s="121" t="s">
        <v>213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f>W57+Z57</f>
        <v>100000</v>
      </c>
      <c r="V57" s="19">
        <f>100000</f>
        <v>100000</v>
      </c>
      <c r="W57" s="19"/>
      <c r="X57" s="19"/>
      <c r="Y57" s="19"/>
      <c r="Z57" s="19">
        <f>V57</f>
        <v>100000</v>
      </c>
      <c r="AA57" s="113">
        <f>P57+U57</f>
        <v>100000</v>
      </c>
    </row>
    <row r="58" spans="1:27" ht="120.75" customHeight="1">
      <c r="A58" s="11" t="s">
        <v>138</v>
      </c>
      <c r="B58" s="11"/>
      <c r="C58" s="11"/>
      <c r="D58" s="12" t="s">
        <v>89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13">
        <f>P59</f>
        <v>189023</v>
      </c>
      <c r="Q58" s="113">
        <f aca="true" t="shared" si="14" ref="Q58:AA58">Q59</f>
        <v>189023</v>
      </c>
      <c r="R58" s="113">
        <f t="shared" si="14"/>
        <v>0</v>
      </c>
      <c r="S58" s="113">
        <f t="shared" si="14"/>
        <v>0</v>
      </c>
      <c r="T58" s="113">
        <f t="shared" si="14"/>
        <v>0</v>
      </c>
      <c r="U58" s="113">
        <f t="shared" si="14"/>
        <v>985471</v>
      </c>
      <c r="V58" s="113">
        <f t="shared" si="14"/>
        <v>985471</v>
      </c>
      <c r="W58" s="113">
        <f t="shared" si="14"/>
        <v>0</v>
      </c>
      <c r="X58" s="113">
        <f t="shared" si="14"/>
        <v>0</v>
      </c>
      <c r="Y58" s="113">
        <f t="shared" si="14"/>
        <v>0</v>
      </c>
      <c r="Z58" s="113">
        <f t="shared" si="14"/>
        <v>985471</v>
      </c>
      <c r="AA58" s="113">
        <f t="shared" si="14"/>
        <v>1174494</v>
      </c>
    </row>
    <row r="59" spans="1:27" ht="123.75" customHeight="1">
      <c r="A59" s="11" t="s">
        <v>88</v>
      </c>
      <c r="B59" s="11"/>
      <c r="C59" s="11"/>
      <c r="D59" s="12" t="s">
        <v>89</v>
      </c>
      <c r="E59" s="113">
        <f aca="true" t="shared" si="15" ref="E59:O59">SUM(E60:E65)</f>
        <v>0</v>
      </c>
      <c r="F59" s="113">
        <f t="shared" si="15"/>
        <v>0</v>
      </c>
      <c r="G59" s="113">
        <f t="shared" si="15"/>
        <v>0</v>
      </c>
      <c r="H59" s="113">
        <f t="shared" si="15"/>
        <v>0</v>
      </c>
      <c r="I59" s="113">
        <f t="shared" si="15"/>
        <v>0</v>
      </c>
      <c r="J59" s="113">
        <f t="shared" si="15"/>
        <v>0</v>
      </c>
      <c r="K59" s="113">
        <f t="shared" si="15"/>
        <v>0</v>
      </c>
      <c r="L59" s="113">
        <f t="shared" si="15"/>
        <v>0</v>
      </c>
      <c r="M59" s="113">
        <f t="shared" si="15"/>
        <v>0</v>
      </c>
      <c r="N59" s="113">
        <f t="shared" si="15"/>
        <v>0</v>
      </c>
      <c r="O59" s="113">
        <f t="shared" si="15"/>
        <v>0</v>
      </c>
      <c r="P59" s="113">
        <f>Q59+T59</f>
        <v>189023</v>
      </c>
      <c r="Q59" s="113">
        <f>SUM(Q60:Q65)</f>
        <v>189023</v>
      </c>
      <c r="R59" s="113">
        <f>SUM(R60:R65)</f>
        <v>0</v>
      </c>
      <c r="S59" s="113">
        <f>SUM(S60:S65)</f>
        <v>0</v>
      </c>
      <c r="T59" s="113">
        <f>SUM(T60:T65)</f>
        <v>0</v>
      </c>
      <c r="U59" s="113">
        <f>W59+Z59</f>
        <v>985471</v>
      </c>
      <c r="V59" s="113">
        <f>SUM(V60:V65)</f>
        <v>985471</v>
      </c>
      <c r="W59" s="113">
        <f>SUM(W60:W65)</f>
        <v>0</v>
      </c>
      <c r="X59" s="113">
        <f>SUM(X60:X65)</f>
        <v>0</v>
      </c>
      <c r="Y59" s="113">
        <f>SUM(Y60:Y65)</f>
        <v>0</v>
      </c>
      <c r="Z59" s="113">
        <f>SUM(Z60:Z65)</f>
        <v>985471</v>
      </c>
      <c r="AA59" s="113">
        <f aca="true" t="shared" si="16" ref="AA59:AA87">P59+U59</f>
        <v>1174494</v>
      </c>
    </row>
    <row r="60" spans="1:27" ht="87.75">
      <c r="A60" s="13" t="s">
        <v>208</v>
      </c>
      <c r="B60" s="13" t="s">
        <v>209</v>
      </c>
      <c r="C60" s="13" t="s">
        <v>81</v>
      </c>
      <c r="D60" s="14" t="s">
        <v>90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aca="true" t="shared" si="17" ref="P60:P65">Q60+T60</f>
        <v>99673</v>
      </c>
      <c r="Q60" s="19">
        <f>71906+24127+3640</f>
        <v>99673</v>
      </c>
      <c r="R60" s="19"/>
      <c r="S60" s="19"/>
      <c r="T60" s="19"/>
      <c r="U60" s="19">
        <f aca="true" t="shared" si="18" ref="U60:U84">W60+Z60</f>
        <v>175873</v>
      </c>
      <c r="V60" s="19">
        <f>175873</f>
        <v>175873</v>
      </c>
      <c r="W60" s="19"/>
      <c r="X60" s="19"/>
      <c r="Y60" s="19"/>
      <c r="Z60" s="19">
        <f aca="true" t="shared" si="19" ref="Z60:Z84">V60</f>
        <v>175873</v>
      </c>
      <c r="AA60" s="113">
        <f t="shared" si="16"/>
        <v>275546</v>
      </c>
    </row>
    <row r="61" spans="1:27" ht="58.5">
      <c r="A61" s="13" t="s">
        <v>91</v>
      </c>
      <c r="B61" s="13" t="s">
        <v>92</v>
      </c>
      <c r="C61" s="13" t="s">
        <v>93</v>
      </c>
      <c r="D61" s="14" t="s">
        <v>94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17"/>
        <v>12560</v>
      </c>
      <c r="Q61" s="19">
        <f>12560</f>
        <v>12560</v>
      </c>
      <c r="R61" s="19"/>
      <c r="S61" s="19"/>
      <c r="T61" s="19"/>
      <c r="U61" s="19"/>
      <c r="V61" s="19"/>
      <c r="W61" s="19"/>
      <c r="X61" s="19"/>
      <c r="Y61" s="19"/>
      <c r="Z61" s="19">
        <f t="shared" si="19"/>
        <v>0</v>
      </c>
      <c r="AA61" s="113">
        <f t="shared" si="16"/>
        <v>12560</v>
      </c>
    </row>
    <row r="62" spans="1:27" ht="201.75" customHeight="1">
      <c r="A62" s="13" t="s">
        <v>95</v>
      </c>
      <c r="B62" s="13" t="s">
        <v>96</v>
      </c>
      <c r="C62" s="13" t="s">
        <v>97</v>
      </c>
      <c r="D62" s="16" t="s">
        <v>98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17"/>
        <v>12140</v>
      </c>
      <c r="Q62" s="19">
        <f>9000+3140</f>
        <v>12140</v>
      </c>
      <c r="R62" s="19"/>
      <c r="S62" s="19"/>
      <c r="T62" s="19"/>
      <c r="U62" s="19">
        <f t="shared" si="18"/>
        <v>176502</v>
      </c>
      <c r="V62" s="19">
        <f>46750+32522+97230</f>
        <v>176502</v>
      </c>
      <c r="W62" s="19"/>
      <c r="X62" s="19"/>
      <c r="Y62" s="19"/>
      <c r="Z62" s="19">
        <f t="shared" si="19"/>
        <v>176502</v>
      </c>
      <c r="AA62" s="113">
        <f t="shared" si="16"/>
        <v>188642</v>
      </c>
    </row>
    <row r="63" spans="1:27" ht="117">
      <c r="A63" s="13" t="s">
        <v>99</v>
      </c>
      <c r="B63" s="13" t="s">
        <v>100</v>
      </c>
      <c r="C63" s="13" t="s">
        <v>101</v>
      </c>
      <c r="D63" s="14" t="s">
        <v>102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17"/>
        <v>18700</v>
      </c>
      <c r="Q63" s="19">
        <f>16000+2700</f>
        <v>18700</v>
      </c>
      <c r="R63" s="19"/>
      <c r="S63" s="19"/>
      <c r="T63" s="19"/>
      <c r="U63" s="113">
        <f t="shared" si="18"/>
        <v>0</v>
      </c>
      <c r="V63" s="19"/>
      <c r="W63" s="19"/>
      <c r="X63" s="19"/>
      <c r="Y63" s="19"/>
      <c r="Z63" s="122">
        <f t="shared" si="19"/>
        <v>0</v>
      </c>
      <c r="AA63" s="113">
        <f t="shared" si="16"/>
        <v>18700</v>
      </c>
    </row>
    <row r="64" spans="1:27" ht="58.5">
      <c r="A64" s="13" t="s">
        <v>230</v>
      </c>
      <c r="B64" s="24" t="s">
        <v>231</v>
      </c>
      <c r="C64" s="24" t="s">
        <v>42</v>
      </c>
      <c r="D64" s="181" t="s">
        <v>232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>
        <f t="shared" si="18"/>
        <v>596396</v>
      </c>
      <c r="V64" s="19">
        <f>54000+392396+150000</f>
        <v>596396</v>
      </c>
      <c r="W64" s="19"/>
      <c r="X64" s="19"/>
      <c r="Y64" s="19"/>
      <c r="Z64" s="19">
        <f t="shared" si="19"/>
        <v>596396</v>
      </c>
      <c r="AA64" s="113">
        <f t="shared" si="16"/>
        <v>596396</v>
      </c>
    </row>
    <row r="65" spans="1:27" ht="93.75" customHeight="1">
      <c r="A65" s="13" t="s">
        <v>103</v>
      </c>
      <c r="B65" s="13" t="s">
        <v>104</v>
      </c>
      <c r="C65" s="13" t="s">
        <v>105</v>
      </c>
      <c r="D65" s="16" t="s">
        <v>106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17"/>
        <v>45950</v>
      </c>
      <c r="Q65" s="19">
        <f>30150+15800</f>
        <v>45950</v>
      </c>
      <c r="R65" s="19"/>
      <c r="S65" s="19"/>
      <c r="T65" s="19"/>
      <c r="U65" s="19">
        <f t="shared" si="18"/>
        <v>36700</v>
      </c>
      <c r="V65" s="19">
        <f>12000+24700</f>
        <v>36700</v>
      </c>
      <c r="W65" s="19"/>
      <c r="X65" s="19"/>
      <c r="Y65" s="19"/>
      <c r="Z65" s="19">
        <f t="shared" si="19"/>
        <v>36700</v>
      </c>
      <c r="AA65" s="113">
        <f t="shared" si="16"/>
        <v>82650</v>
      </c>
    </row>
    <row r="66" spans="1:27" ht="159.75" customHeight="1">
      <c r="A66" s="11" t="s">
        <v>139</v>
      </c>
      <c r="B66" s="11"/>
      <c r="C66" s="11"/>
      <c r="D66" s="12" t="s">
        <v>108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13">
        <f>P67</f>
        <v>218746</v>
      </c>
      <c r="Q66" s="113">
        <f aca="true" t="shared" si="20" ref="Q66:AA66">Q67</f>
        <v>218746</v>
      </c>
      <c r="R66" s="113">
        <f t="shared" si="20"/>
        <v>0</v>
      </c>
      <c r="S66" s="113">
        <f t="shared" si="20"/>
        <v>0</v>
      </c>
      <c r="T66" s="113">
        <f t="shared" si="20"/>
        <v>0</v>
      </c>
      <c r="U66" s="113">
        <f t="shared" si="20"/>
        <v>0</v>
      </c>
      <c r="V66" s="113">
        <f t="shared" si="20"/>
        <v>0</v>
      </c>
      <c r="W66" s="113">
        <f t="shared" si="20"/>
        <v>0</v>
      </c>
      <c r="X66" s="113">
        <f t="shared" si="20"/>
        <v>0</v>
      </c>
      <c r="Y66" s="113">
        <f t="shared" si="20"/>
        <v>0</v>
      </c>
      <c r="Z66" s="113">
        <f t="shared" si="20"/>
        <v>0</v>
      </c>
      <c r="AA66" s="113">
        <f t="shared" si="20"/>
        <v>218746</v>
      </c>
    </row>
    <row r="67" spans="1:27" ht="176.25" customHeight="1">
      <c r="A67" s="11" t="s">
        <v>107</v>
      </c>
      <c r="B67" s="11"/>
      <c r="C67" s="11"/>
      <c r="D67" s="12" t="s">
        <v>108</v>
      </c>
      <c r="E67" s="113">
        <f aca="true" t="shared" si="21" ref="E67:O67">SUM(E68:E70)</f>
        <v>0</v>
      </c>
      <c r="F67" s="113">
        <f t="shared" si="21"/>
        <v>0</v>
      </c>
      <c r="G67" s="113">
        <f t="shared" si="21"/>
        <v>0</v>
      </c>
      <c r="H67" s="113">
        <f t="shared" si="21"/>
        <v>0</v>
      </c>
      <c r="I67" s="113">
        <f t="shared" si="21"/>
        <v>0</v>
      </c>
      <c r="J67" s="113">
        <f t="shared" si="21"/>
        <v>0</v>
      </c>
      <c r="K67" s="113">
        <f t="shared" si="21"/>
        <v>0</v>
      </c>
      <c r="L67" s="113">
        <f t="shared" si="21"/>
        <v>0</v>
      </c>
      <c r="M67" s="113">
        <f t="shared" si="21"/>
        <v>0</v>
      </c>
      <c r="N67" s="113">
        <f t="shared" si="21"/>
        <v>0</v>
      </c>
      <c r="O67" s="113">
        <f t="shared" si="21"/>
        <v>0</v>
      </c>
      <c r="P67" s="113">
        <f>Q67+T67</f>
        <v>218746</v>
      </c>
      <c r="Q67" s="113">
        <f>SUM(Q68:Q70)</f>
        <v>218746</v>
      </c>
      <c r="R67" s="113">
        <f>SUM(R68:R70)</f>
        <v>0</v>
      </c>
      <c r="S67" s="113">
        <f>SUM(S68:S70)</f>
        <v>0</v>
      </c>
      <c r="T67" s="113"/>
      <c r="U67" s="113">
        <f t="shared" si="18"/>
        <v>0</v>
      </c>
      <c r="V67" s="113">
        <f>SUM(V68:V70)</f>
        <v>0</v>
      </c>
      <c r="W67" s="113"/>
      <c r="X67" s="113"/>
      <c r="Y67" s="113"/>
      <c r="Z67" s="113">
        <f t="shared" si="19"/>
        <v>0</v>
      </c>
      <c r="AA67" s="113">
        <f t="shared" si="16"/>
        <v>218746</v>
      </c>
    </row>
    <row r="68" spans="1:27" ht="204.75">
      <c r="A68" s="13" t="s">
        <v>109</v>
      </c>
      <c r="B68" s="13" t="s">
        <v>75</v>
      </c>
      <c r="C68" s="13" t="s">
        <v>20</v>
      </c>
      <c r="D68" s="14" t="s">
        <v>204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>Q68+T68</f>
        <v>50000</v>
      </c>
      <c r="Q68" s="19">
        <f>50000</f>
        <v>50000</v>
      </c>
      <c r="R68" s="19"/>
      <c r="S68" s="19"/>
      <c r="T68" s="19"/>
      <c r="U68" s="113">
        <f t="shared" si="18"/>
        <v>0</v>
      </c>
      <c r="V68" s="19"/>
      <c r="W68" s="19"/>
      <c r="X68" s="19"/>
      <c r="Y68" s="19"/>
      <c r="Z68" s="122">
        <f t="shared" si="19"/>
        <v>0</v>
      </c>
      <c r="AA68" s="113">
        <f t="shared" si="16"/>
        <v>50000</v>
      </c>
    </row>
    <row r="69" spans="1:27" ht="175.5">
      <c r="A69" s="13" t="s">
        <v>110</v>
      </c>
      <c r="B69" s="13" t="s">
        <v>82</v>
      </c>
      <c r="C69" s="13" t="s">
        <v>83</v>
      </c>
      <c r="D69" s="14" t="s">
        <v>84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>Q69+T69</f>
        <v>35820</v>
      </c>
      <c r="Q69" s="19">
        <f>35820</f>
        <v>35820</v>
      </c>
      <c r="R69" s="19"/>
      <c r="S69" s="19"/>
      <c r="T69" s="19"/>
      <c r="U69" s="113">
        <f t="shared" si="18"/>
        <v>0</v>
      </c>
      <c r="V69" s="19"/>
      <c r="W69" s="19"/>
      <c r="X69" s="19"/>
      <c r="Y69" s="19"/>
      <c r="Z69" s="122">
        <f t="shared" si="19"/>
        <v>0</v>
      </c>
      <c r="AA69" s="113">
        <f t="shared" si="16"/>
        <v>35820</v>
      </c>
    </row>
    <row r="70" spans="1:27" ht="204.75">
      <c r="A70" s="13" t="s">
        <v>111</v>
      </c>
      <c r="B70" s="13" t="s">
        <v>112</v>
      </c>
      <c r="C70" s="13" t="s">
        <v>83</v>
      </c>
      <c r="D70" s="116" t="s">
        <v>265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>Q70+T70</f>
        <v>132926</v>
      </c>
      <c r="Q70" s="19">
        <f>132926</f>
        <v>132926</v>
      </c>
      <c r="R70" s="19"/>
      <c r="S70" s="19"/>
      <c r="T70" s="19"/>
      <c r="U70" s="113">
        <f t="shared" si="18"/>
        <v>0</v>
      </c>
      <c r="V70" s="19"/>
      <c r="W70" s="19"/>
      <c r="X70" s="19"/>
      <c r="Y70" s="19"/>
      <c r="Z70" s="122">
        <f t="shared" si="19"/>
        <v>0</v>
      </c>
      <c r="AA70" s="113">
        <f t="shared" si="16"/>
        <v>132926</v>
      </c>
    </row>
    <row r="71" spans="1:27" ht="204.75">
      <c r="A71" s="11" t="s">
        <v>140</v>
      </c>
      <c r="B71" s="11"/>
      <c r="C71" s="11"/>
      <c r="D71" s="26" t="s">
        <v>114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13">
        <f>P72</f>
        <v>802858</v>
      </c>
      <c r="Q71" s="113">
        <f aca="true" t="shared" si="22" ref="Q71:AA71">Q72</f>
        <v>802858</v>
      </c>
      <c r="R71" s="113">
        <f t="shared" si="22"/>
        <v>0</v>
      </c>
      <c r="S71" s="113">
        <f t="shared" si="22"/>
        <v>585348</v>
      </c>
      <c r="T71" s="113">
        <f t="shared" si="22"/>
        <v>0</v>
      </c>
      <c r="U71" s="113">
        <f t="shared" si="22"/>
        <v>0</v>
      </c>
      <c r="V71" s="113">
        <f t="shared" si="22"/>
        <v>0</v>
      </c>
      <c r="W71" s="113">
        <f t="shared" si="22"/>
        <v>0</v>
      </c>
      <c r="X71" s="113">
        <f t="shared" si="22"/>
        <v>0</v>
      </c>
      <c r="Y71" s="113">
        <f t="shared" si="22"/>
        <v>0</v>
      </c>
      <c r="Z71" s="113">
        <f t="shared" si="22"/>
        <v>0</v>
      </c>
      <c r="AA71" s="113">
        <f t="shared" si="22"/>
        <v>802858</v>
      </c>
    </row>
    <row r="72" spans="1:27" ht="219" customHeight="1">
      <c r="A72" s="11" t="s">
        <v>113</v>
      </c>
      <c r="B72" s="11"/>
      <c r="C72" s="11"/>
      <c r="D72" s="26" t="s">
        <v>114</v>
      </c>
      <c r="E72" s="123">
        <f aca="true" t="shared" si="23" ref="E72:O72">SUM(E73:E73)</f>
        <v>0</v>
      </c>
      <c r="F72" s="123">
        <f t="shared" si="23"/>
        <v>0</v>
      </c>
      <c r="G72" s="123">
        <f t="shared" si="23"/>
        <v>0</v>
      </c>
      <c r="H72" s="123">
        <f t="shared" si="23"/>
        <v>0</v>
      </c>
      <c r="I72" s="123">
        <f t="shared" si="23"/>
        <v>0</v>
      </c>
      <c r="J72" s="123">
        <f t="shared" si="23"/>
        <v>0</v>
      </c>
      <c r="K72" s="123">
        <f t="shared" si="23"/>
        <v>0</v>
      </c>
      <c r="L72" s="123">
        <f t="shared" si="23"/>
        <v>0</v>
      </c>
      <c r="M72" s="123">
        <f t="shared" si="23"/>
        <v>0</v>
      </c>
      <c r="N72" s="123">
        <f t="shared" si="23"/>
        <v>0</v>
      </c>
      <c r="O72" s="123">
        <f t="shared" si="23"/>
        <v>0</v>
      </c>
      <c r="P72" s="123">
        <f>Q72+T72</f>
        <v>802858</v>
      </c>
      <c r="Q72" s="123">
        <f>SUM(Q73:Q73)</f>
        <v>802858</v>
      </c>
      <c r="R72" s="123">
        <f>SUM(R73:R73)</f>
        <v>0</v>
      </c>
      <c r="S72" s="123">
        <f>SUM(S73:S73)</f>
        <v>585348</v>
      </c>
      <c r="T72" s="123">
        <f>SUM(T73:T73)</f>
        <v>0</v>
      </c>
      <c r="U72" s="113">
        <f t="shared" si="18"/>
        <v>0</v>
      </c>
      <c r="V72" s="123">
        <f>SUM(V73:V73)</f>
        <v>0</v>
      </c>
      <c r="W72" s="123">
        <f>SUM(W73:W73)</f>
        <v>0</v>
      </c>
      <c r="X72" s="123">
        <f>SUM(X73:X73)</f>
        <v>0</v>
      </c>
      <c r="Y72" s="123">
        <f>SUM(Y73:Y73)</f>
        <v>0</v>
      </c>
      <c r="Z72" s="122">
        <f t="shared" si="19"/>
        <v>0</v>
      </c>
      <c r="AA72" s="113">
        <f t="shared" si="16"/>
        <v>802858</v>
      </c>
    </row>
    <row r="73" spans="1:27" ht="87.75">
      <c r="A73" s="13" t="s">
        <v>115</v>
      </c>
      <c r="B73" s="13" t="s">
        <v>49</v>
      </c>
      <c r="C73" s="13" t="s">
        <v>43</v>
      </c>
      <c r="D73" s="14" t="s">
        <v>133</v>
      </c>
      <c r="E73" s="124"/>
      <c r="F73" s="124"/>
      <c r="G73" s="124"/>
      <c r="H73" s="124"/>
      <c r="I73" s="19"/>
      <c r="J73" s="19"/>
      <c r="K73" s="19"/>
      <c r="L73" s="19"/>
      <c r="M73" s="19"/>
      <c r="N73" s="19"/>
      <c r="O73" s="19"/>
      <c r="P73" s="19">
        <f>Q73+T73</f>
        <v>802858</v>
      </c>
      <c r="Q73" s="19">
        <f>19692+605040+197818-19692</f>
        <v>802858</v>
      </c>
      <c r="R73" s="19"/>
      <c r="S73" s="19">
        <f>605040-19692</f>
        <v>585348</v>
      </c>
      <c r="T73" s="19"/>
      <c r="U73" s="113">
        <f t="shared" si="18"/>
        <v>0</v>
      </c>
      <c r="V73" s="19"/>
      <c r="W73" s="19"/>
      <c r="X73" s="19"/>
      <c r="Y73" s="19"/>
      <c r="Z73" s="122">
        <f t="shared" si="19"/>
        <v>0</v>
      </c>
      <c r="AA73" s="113">
        <f t="shared" si="16"/>
        <v>802858</v>
      </c>
    </row>
    <row r="74" spans="1:27" ht="214.5" customHeight="1" hidden="1">
      <c r="A74" s="11" t="s">
        <v>141</v>
      </c>
      <c r="B74" s="11"/>
      <c r="C74" s="11"/>
      <c r="D74" s="12" t="s">
        <v>117</v>
      </c>
      <c r="E74" s="124"/>
      <c r="F74" s="124"/>
      <c r="G74" s="124"/>
      <c r="H74" s="124"/>
      <c r="I74" s="19"/>
      <c r="J74" s="19"/>
      <c r="K74" s="19"/>
      <c r="L74" s="19"/>
      <c r="M74" s="19"/>
      <c r="N74" s="19"/>
      <c r="O74" s="19"/>
      <c r="P74" s="113">
        <f>P75</f>
        <v>0</v>
      </c>
      <c r="Q74" s="113">
        <f aca="true" t="shared" si="24" ref="Q74:AA74">Q75</f>
        <v>0</v>
      </c>
      <c r="R74" s="113">
        <f t="shared" si="24"/>
        <v>0</v>
      </c>
      <c r="S74" s="113">
        <f t="shared" si="24"/>
        <v>0</v>
      </c>
      <c r="T74" s="113">
        <f t="shared" si="24"/>
        <v>0</v>
      </c>
      <c r="U74" s="113">
        <f t="shared" si="24"/>
        <v>0</v>
      </c>
      <c r="V74" s="113">
        <f t="shared" si="24"/>
        <v>0</v>
      </c>
      <c r="W74" s="113">
        <f t="shared" si="24"/>
        <v>0</v>
      </c>
      <c r="X74" s="113">
        <f t="shared" si="24"/>
        <v>0</v>
      </c>
      <c r="Y74" s="113">
        <f t="shared" si="24"/>
        <v>0</v>
      </c>
      <c r="Z74" s="113">
        <f t="shared" si="24"/>
        <v>0</v>
      </c>
      <c r="AA74" s="113">
        <f t="shared" si="24"/>
        <v>0</v>
      </c>
    </row>
    <row r="75" spans="1:27" ht="213.75" customHeight="1" hidden="1">
      <c r="A75" s="11" t="s">
        <v>116</v>
      </c>
      <c r="B75" s="11"/>
      <c r="C75" s="11"/>
      <c r="D75" s="12" t="s">
        <v>117</v>
      </c>
      <c r="E75" s="113">
        <f aca="true" t="shared" si="25" ref="E75:O75">SUM(E76:E81)</f>
        <v>0</v>
      </c>
      <c r="F75" s="113">
        <f t="shared" si="25"/>
        <v>0</v>
      </c>
      <c r="G75" s="113">
        <f t="shared" si="25"/>
        <v>0</v>
      </c>
      <c r="H75" s="113">
        <f t="shared" si="25"/>
        <v>0</v>
      </c>
      <c r="I75" s="113">
        <f t="shared" si="25"/>
        <v>0</v>
      </c>
      <c r="J75" s="113">
        <f t="shared" si="25"/>
        <v>0</v>
      </c>
      <c r="K75" s="113">
        <f t="shared" si="25"/>
        <v>0</v>
      </c>
      <c r="L75" s="113">
        <f t="shared" si="25"/>
        <v>0</v>
      </c>
      <c r="M75" s="113">
        <f t="shared" si="25"/>
        <v>0</v>
      </c>
      <c r="N75" s="113">
        <f t="shared" si="25"/>
        <v>0</v>
      </c>
      <c r="O75" s="113">
        <f t="shared" si="25"/>
        <v>0</v>
      </c>
      <c r="P75" s="113">
        <f aca="true" t="shared" si="26" ref="P75:P80">Q75+T75</f>
        <v>0</v>
      </c>
      <c r="Q75" s="113">
        <f>SUM(Q76:Q81)</f>
        <v>0</v>
      </c>
      <c r="R75" s="113">
        <f>SUM(R76:R81)</f>
        <v>0</v>
      </c>
      <c r="S75" s="113">
        <f>SUM(S76:S81)</f>
        <v>0</v>
      </c>
      <c r="T75" s="113">
        <f>SUM(T76:T81)</f>
        <v>0</v>
      </c>
      <c r="U75" s="113">
        <f t="shared" si="18"/>
        <v>0</v>
      </c>
      <c r="V75" s="113">
        <f>SUM(V76:V81)</f>
        <v>0</v>
      </c>
      <c r="W75" s="113">
        <f>SUM(W76:W81)</f>
        <v>0</v>
      </c>
      <c r="X75" s="113">
        <f>SUM(X76:X81)</f>
        <v>0</v>
      </c>
      <c r="Y75" s="113">
        <f>SUM(Y76:Y81)</f>
        <v>0</v>
      </c>
      <c r="Z75" s="113">
        <f t="shared" si="19"/>
        <v>0</v>
      </c>
      <c r="AA75" s="113">
        <f t="shared" si="16"/>
        <v>0</v>
      </c>
    </row>
    <row r="76" spans="1:27" ht="100.5" customHeight="1" hidden="1">
      <c r="A76" s="13" t="s">
        <v>118</v>
      </c>
      <c r="B76" s="13" t="s">
        <v>34</v>
      </c>
      <c r="C76" s="13" t="s">
        <v>33</v>
      </c>
      <c r="D76" s="14" t="s">
        <v>35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>
        <f t="shared" si="26"/>
        <v>0</v>
      </c>
      <c r="Q76" s="19"/>
      <c r="R76" s="19"/>
      <c r="S76" s="19"/>
      <c r="T76" s="19"/>
      <c r="U76" s="113">
        <f t="shared" si="18"/>
        <v>0</v>
      </c>
      <c r="V76" s="19"/>
      <c r="W76" s="19"/>
      <c r="X76" s="19"/>
      <c r="Y76" s="19"/>
      <c r="Z76" s="122">
        <f t="shared" si="19"/>
        <v>0</v>
      </c>
      <c r="AA76" s="113">
        <f t="shared" si="16"/>
        <v>0</v>
      </c>
    </row>
    <row r="77" spans="1:27" ht="87.75" hidden="1">
      <c r="A77" s="13" t="s">
        <v>119</v>
      </c>
      <c r="B77" s="13" t="s">
        <v>39</v>
      </c>
      <c r="C77" s="13" t="s">
        <v>33</v>
      </c>
      <c r="D77" s="14" t="s">
        <v>40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>
        <f t="shared" si="26"/>
        <v>0</v>
      </c>
      <c r="Q77" s="19"/>
      <c r="R77" s="19"/>
      <c r="S77" s="19"/>
      <c r="T77" s="19"/>
      <c r="U77" s="113">
        <f t="shared" si="18"/>
        <v>0</v>
      </c>
      <c r="V77" s="19"/>
      <c r="W77" s="19"/>
      <c r="X77" s="19"/>
      <c r="Y77" s="19"/>
      <c r="Z77" s="122">
        <f t="shared" si="19"/>
        <v>0</v>
      </c>
      <c r="AA77" s="113">
        <f t="shared" si="16"/>
        <v>0</v>
      </c>
    </row>
    <row r="78" spans="1:27" ht="87.75" hidden="1">
      <c r="A78" s="13" t="s">
        <v>120</v>
      </c>
      <c r="B78" s="13" t="s">
        <v>121</v>
      </c>
      <c r="C78" s="13" t="s">
        <v>33</v>
      </c>
      <c r="D78" s="14" t="s">
        <v>122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>
        <f t="shared" si="26"/>
        <v>0</v>
      </c>
      <c r="Q78" s="19"/>
      <c r="R78" s="19"/>
      <c r="S78" s="19"/>
      <c r="T78" s="19"/>
      <c r="U78" s="19">
        <f t="shared" si="18"/>
        <v>0</v>
      </c>
      <c r="V78" s="19"/>
      <c r="W78" s="19"/>
      <c r="X78" s="19"/>
      <c r="Y78" s="19"/>
      <c r="Z78" s="19"/>
      <c r="AA78" s="113">
        <f t="shared" si="16"/>
        <v>0</v>
      </c>
    </row>
    <row r="79" spans="1:27" ht="117" hidden="1">
      <c r="A79" s="13" t="s">
        <v>123</v>
      </c>
      <c r="B79" s="13" t="s">
        <v>55</v>
      </c>
      <c r="C79" s="13" t="s">
        <v>42</v>
      </c>
      <c r="D79" s="14" t="s">
        <v>56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>
        <f t="shared" si="26"/>
        <v>0</v>
      </c>
      <c r="Q79" s="19"/>
      <c r="R79" s="19"/>
      <c r="S79" s="19"/>
      <c r="T79" s="19"/>
      <c r="U79" s="19">
        <f t="shared" si="18"/>
        <v>0</v>
      </c>
      <c r="V79" s="19"/>
      <c r="W79" s="19"/>
      <c r="X79" s="19"/>
      <c r="Y79" s="19"/>
      <c r="Z79" s="19"/>
      <c r="AA79" s="113">
        <f t="shared" si="16"/>
        <v>0</v>
      </c>
    </row>
    <row r="80" spans="1:27" ht="87.75" hidden="1">
      <c r="A80" s="13" t="s">
        <v>124</v>
      </c>
      <c r="B80" s="13" t="s">
        <v>54</v>
      </c>
      <c r="C80" s="13" t="s">
        <v>42</v>
      </c>
      <c r="D80" s="14" t="s">
        <v>125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>
        <f t="shared" si="26"/>
        <v>0</v>
      </c>
      <c r="Q80" s="19"/>
      <c r="R80" s="19"/>
      <c r="S80" s="19"/>
      <c r="T80" s="19"/>
      <c r="U80" s="19">
        <f t="shared" si="18"/>
        <v>0</v>
      </c>
      <c r="V80" s="19"/>
      <c r="W80" s="19"/>
      <c r="X80" s="19"/>
      <c r="Y80" s="19"/>
      <c r="Z80" s="19"/>
      <c r="AA80" s="113">
        <f t="shared" si="16"/>
        <v>0</v>
      </c>
    </row>
    <row r="81" spans="1:27" ht="87.75" hidden="1">
      <c r="A81" s="13" t="s">
        <v>124</v>
      </c>
      <c r="B81" s="13" t="s">
        <v>54</v>
      </c>
      <c r="C81" s="13" t="s">
        <v>42</v>
      </c>
      <c r="D81" s="14" t="s">
        <v>67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f t="shared" si="18"/>
        <v>0</v>
      </c>
      <c r="V81" s="19"/>
      <c r="W81" s="19"/>
      <c r="X81" s="19"/>
      <c r="Y81" s="19"/>
      <c r="Z81" s="19"/>
      <c r="AA81" s="113">
        <f t="shared" si="16"/>
        <v>0</v>
      </c>
    </row>
    <row r="82" spans="1:27" ht="99" customHeight="1">
      <c r="A82" s="11" t="s">
        <v>142</v>
      </c>
      <c r="B82" s="11"/>
      <c r="C82" s="11"/>
      <c r="D82" s="26" t="s">
        <v>127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13">
        <f>P83</f>
        <v>9300</v>
      </c>
      <c r="Q82" s="113">
        <f aca="true" t="shared" si="27" ref="Q82:AA82">Q83</f>
        <v>9300</v>
      </c>
      <c r="R82" s="113">
        <f t="shared" si="27"/>
        <v>0</v>
      </c>
      <c r="S82" s="113">
        <f t="shared" si="27"/>
        <v>0</v>
      </c>
      <c r="T82" s="113">
        <f t="shared" si="27"/>
        <v>0</v>
      </c>
      <c r="U82" s="113">
        <f t="shared" si="27"/>
        <v>0</v>
      </c>
      <c r="V82" s="113">
        <f t="shared" si="27"/>
        <v>0</v>
      </c>
      <c r="W82" s="113">
        <f t="shared" si="27"/>
        <v>0</v>
      </c>
      <c r="X82" s="113">
        <f t="shared" si="27"/>
        <v>0</v>
      </c>
      <c r="Y82" s="113">
        <f t="shared" si="27"/>
        <v>0</v>
      </c>
      <c r="Z82" s="113">
        <f t="shared" si="27"/>
        <v>0</v>
      </c>
      <c r="AA82" s="113">
        <f t="shared" si="27"/>
        <v>9300</v>
      </c>
    </row>
    <row r="83" spans="1:27" ht="96.75" customHeight="1">
      <c r="A83" s="11" t="s">
        <v>126</v>
      </c>
      <c r="B83" s="11"/>
      <c r="C83" s="11"/>
      <c r="D83" s="26" t="s">
        <v>127</v>
      </c>
      <c r="E83" s="113">
        <f aca="true" t="shared" si="28" ref="E83:S83">SUM(E84)</f>
        <v>0</v>
      </c>
      <c r="F83" s="113">
        <f t="shared" si="28"/>
        <v>0</v>
      </c>
      <c r="G83" s="113">
        <f t="shared" si="28"/>
        <v>0</v>
      </c>
      <c r="H83" s="113">
        <f t="shared" si="28"/>
        <v>0</v>
      </c>
      <c r="I83" s="113">
        <f t="shared" si="28"/>
        <v>0</v>
      </c>
      <c r="J83" s="113">
        <f t="shared" si="28"/>
        <v>0</v>
      </c>
      <c r="K83" s="113">
        <f t="shared" si="28"/>
        <v>0</v>
      </c>
      <c r="L83" s="113">
        <f t="shared" si="28"/>
        <v>0</v>
      </c>
      <c r="M83" s="113">
        <f t="shared" si="28"/>
        <v>0</v>
      </c>
      <c r="N83" s="113">
        <f t="shared" si="28"/>
        <v>0</v>
      </c>
      <c r="O83" s="113">
        <f t="shared" si="28"/>
        <v>0</v>
      </c>
      <c r="P83" s="113">
        <f>Q83+T83</f>
        <v>9300</v>
      </c>
      <c r="Q83" s="113">
        <f t="shared" si="28"/>
        <v>9300</v>
      </c>
      <c r="R83" s="113">
        <f t="shared" si="28"/>
        <v>0</v>
      </c>
      <c r="S83" s="113">
        <f t="shared" si="28"/>
        <v>0</v>
      </c>
      <c r="T83" s="113"/>
      <c r="U83" s="113">
        <f t="shared" si="18"/>
        <v>0</v>
      </c>
      <c r="V83" s="113"/>
      <c r="W83" s="113"/>
      <c r="X83" s="113"/>
      <c r="Y83" s="113"/>
      <c r="Z83" s="122">
        <f t="shared" si="19"/>
        <v>0</v>
      </c>
      <c r="AA83" s="113">
        <f t="shared" si="16"/>
        <v>9300</v>
      </c>
    </row>
    <row r="84" spans="1:27" ht="204.75">
      <c r="A84" s="13" t="s">
        <v>128</v>
      </c>
      <c r="B84" s="13" t="s">
        <v>75</v>
      </c>
      <c r="C84" s="13" t="s">
        <v>20</v>
      </c>
      <c r="D84" s="14" t="s">
        <v>204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>Q84+T84</f>
        <v>9300</v>
      </c>
      <c r="Q84" s="19">
        <f>9300</f>
        <v>9300</v>
      </c>
      <c r="R84" s="19"/>
      <c r="S84" s="19"/>
      <c r="T84" s="19"/>
      <c r="U84" s="113">
        <f t="shared" si="18"/>
        <v>0</v>
      </c>
      <c r="V84" s="19"/>
      <c r="W84" s="19"/>
      <c r="X84" s="19"/>
      <c r="Y84" s="19"/>
      <c r="Z84" s="122">
        <f t="shared" si="19"/>
        <v>0</v>
      </c>
      <c r="AA84" s="113">
        <f t="shared" si="16"/>
        <v>9300</v>
      </c>
    </row>
    <row r="85" spans="1:27" ht="117" hidden="1">
      <c r="A85" s="11" t="s">
        <v>143</v>
      </c>
      <c r="B85" s="11"/>
      <c r="C85" s="11"/>
      <c r="D85" s="26" t="s">
        <v>130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13">
        <f>P86</f>
        <v>0</v>
      </c>
      <c r="Q85" s="113">
        <f aca="true" t="shared" si="29" ref="Q85:AA86">Q86</f>
        <v>0</v>
      </c>
      <c r="R85" s="113">
        <f t="shared" si="29"/>
        <v>0</v>
      </c>
      <c r="S85" s="113">
        <f t="shared" si="29"/>
        <v>0</v>
      </c>
      <c r="T85" s="113">
        <f t="shared" si="29"/>
        <v>0</v>
      </c>
      <c r="U85" s="113">
        <f t="shared" si="29"/>
        <v>0</v>
      </c>
      <c r="V85" s="113">
        <f t="shared" si="29"/>
        <v>0</v>
      </c>
      <c r="W85" s="113">
        <f t="shared" si="29"/>
        <v>0</v>
      </c>
      <c r="X85" s="113">
        <f t="shared" si="29"/>
        <v>0</v>
      </c>
      <c r="Y85" s="113">
        <f t="shared" si="29"/>
        <v>0</v>
      </c>
      <c r="Z85" s="113">
        <f t="shared" si="29"/>
        <v>0</v>
      </c>
      <c r="AA85" s="113">
        <f t="shared" si="29"/>
        <v>0</v>
      </c>
    </row>
    <row r="86" spans="1:27" ht="117" hidden="1">
      <c r="A86" s="11" t="s">
        <v>129</v>
      </c>
      <c r="B86" s="11"/>
      <c r="C86" s="11"/>
      <c r="D86" s="26" t="s">
        <v>130</v>
      </c>
      <c r="E86" s="113" t="e">
        <f>SUM(#REF!)</f>
        <v>#REF!</v>
      </c>
      <c r="F86" s="113" t="e">
        <f>SUM(#REF!)</f>
        <v>#REF!</v>
      </c>
      <c r="G86" s="113" t="e">
        <f>SUM(#REF!)</f>
        <v>#REF!</v>
      </c>
      <c r="H86" s="113" t="e">
        <f>SUM(#REF!)</f>
        <v>#REF!</v>
      </c>
      <c r="I86" s="113" t="e">
        <f>SUM(#REF!)</f>
        <v>#REF!</v>
      </c>
      <c r="J86" s="113" t="e">
        <f>SUM(#REF!)</f>
        <v>#REF!</v>
      </c>
      <c r="K86" s="113" t="e">
        <f>SUM(#REF!)</f>
        <v>#REF!</v>
      </c>
      <c r="L86" s="113" t="e">
        <f>SUM(#REF!)</f>
        <v>#REF!</v>
      </c>
      <c r="M86" s="113" t="e">
        <f>SUM(#REF!)</f>
        <v>#REF!</v>
      </c>
      <c r="N86" s="113" t="e">
        <f>SUM(#REF!)</f>
        <v>#REF!</v>
      </c>
      <c r="O86" s="113" t="e">
        <f>SUM(#REF!)</f>
        <v>#REF!</v>
      </c>
      <c r="P86" s="113">
        <f>Q86+T86</f>
        <v>0</v>
      </c>
      <c r="Q86" s="113">
        <f>Q87</f>
        <v>0</v>
      </c>
      <c r="R86" s="113">
        <f t="shared" si="29"/>
        <v>0</v>
      </c>
      <c r="S86" s="113">
        <f t="shared" si="29"/>
        <v>0</v>
      </c>
      <c r="T86" s="113">
        <f t="shared" si="29"/>
        <v>0</v>
      </c>
      <c r="U86" s="113">
        <f t="shared" si="29"/>
        <v>0</v>
      </c>
      <c r="V86" s="113">
        <f t="shared" si="29"/>
        <v>0</v>
      </c>
      <c r="W86" s="113">
        <f t="shared" si="29"/>
        <v>0</v>
      </c>
      <c r="X86" s="113">
        <f t="shared" si="29"/>
        <v>0</v>
      </c>
      <c r="Y86" s="113">
        <f t="shared" si="29"/>
        <v>0</v>
      </c>
      <c r="Z86" s="113">
        <f t="shared" si="29"/>
        <v>0</v>
      </c>
      <c r="AA86" s="113">
        <f t="shared" si="16"/>
        <v>0</v>
      </c>
    </row>
    <row r="87" spans="1:27" ht="204.75" hidden="1">
      <c r="A87" s="13" t="s">
        <v>236</v>
      </c>
      <c r="B87" s="13" t="s">
        <v>237</v>
      </c>
      <c r="C87" s="13" t="s">
        <v>72</v>
      </c>
      <c r="D87" s="14" t="s">
        <v>235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13"/>
      <c r="V87" s="19"/>
      <c r="W87" s="19"/>
      <c r="X87" s="19"/>
      <c r="Y87" s="19"/>
      <c r="Z87" s="122"/>
      <c r="AA87" s="113">
        <f t="shared" si="16"/>
        <v>0</v>
      </c>
    </row>
    <row r="88" spans="1:27" ht="29.25">
      <c r="A88" s="27" t="s">
        <v>135</v>
      </c>
      <c r="B88" s="27" t="s">
        <v>135</v>
      </c>
      <c r="C88" s="27" t="s">
        <v>135</v>
      </c>
      <c r="D88" s="15" t="s">
        <v>131</v>
      </c>
      <c r="E88" s="20" t="e">
        <f>E23+E48+E56+E59+E67+#REF!+#REF!+E72+E75+E83+E86</f>
        <v>#REF!</v>
      </c>
      <c r="F88" s="20" t="e">
        <f>F23+F48+F56+F59+F67+#REF!+#REF!+F72+F75+F83+F86</f>
        <v>#REF!</v>
      </c>
      <c r="G88" s="20" t="e">
        <f>G23+G48+G56+G59+G67+#REF!+#REF!+G72+G75+G83+G86</f>
        <v>#REF!</v>
      </c>
      <c r="H88" s="20" t="e">
        <f>H23+H48+H56+H59+H67+#REF!+#REF!+H72+H75+H83+H86</f>
        <v>#REF!</v>
      </c>
      <c r="I88" s="20" t="e">
        <f>I23+I48+I56+I59+I67+#REF!+#REF!+I72+I75+I83+I86</f>
        <v>#REF!</v>
      </c>
      <c r="J88" s="20" t="e">
        <f>J23+J48+J56+J59+J67+#REF!+#REF!+J72+J75+J83+J86</f>
        <v>#REF!</v>
      </c>
      <c r="K88" s="20" t="e">
        <f>K23+K48+K56+K59+K67+#REF!+#REF!+K72+K75+K83+K86</f>
        <v>#REF!</v>
      </c>
      <c r="L88" s="20" t="e">
        <f>L23+L48+L56+L59+L67+#REF!+#REF!+L72+L75+L83+L86</f>
        <v>#REF!</v>
      </c>
      <c r="M88" s="20" t="e">
        <f>M23+M48+M56+M59+M67+#REF!+#REF!+M72+M75+M83+M86</f>
        <v>#REF!</v>
      </c>
      <c r="N88" s="20" t="e">
        <f>N23+N48+N56+N59+N67+#REF!+#REF!+N72+N75+N83+N86</f>
        <v>#REF!</v>
      </c>
      <c r="O88" s="20" t="e">
        <f>O23+O48+O56+O59+O67+#REF!+#REF!+O72+O75+O83+O86</f>
        <v>#REF!</v>
      </c>
      <c r="P88" s="20">
        <f aca="true" t="shared" si="30" ref="P88:AA88">P22+P47+P55+P58+P66+P71+P74+P82+P85</f>
        <v>3725015</v>
      </c>
      <c r="Q88" s="20">
        <f t="shared" si="30"/>
        <v>3725015</v>
      </c>
      <c r="R88" s="20">
        <f t="shared" si="30"/>
        <v>0</v>
      </c>
      <c r="S88" s="20">
        <f t="shared" si="30"/>
        <v>585348</v>
      </c>
      <c r="T88" s="20">
        <f t="shared" si="30"/>
        <v>0</v>
      </c>
      <c r="U88" s="20">
        <f t="shared" si="30"/>
        <v>8568186</v>
      </c>
      <c r="V88" s="20">
        <f t="shared" si="30"/>
        <v>8568186</v>
      </c>
      <c r="W88" s="20">
        <f t="shared" si="30"/>
        <v>0</v>
      </c>
      <c r="X88" s="20">
        <f t="shared" si="30"/>
        <v>0</v>
      </c>
      <c r="Y88" s="20">
        <f t="shared" si="30"/>
        <v>0</v>
      </c>
      <c r="Z88" s="20">
        <f t="shared" si="30"/>
        <v>8568186</v>
      </c>
      <c r="AA88" s="20">
        <f t="shared" si="30"/>
        <v>12293201</v>
      </c>
    </row>
    <row r="90" ht="30.75">
      <c r="Q90" s="18"/>
    </row>
    <row r="91" spans="4:27" ht="36" customHeight="1">
      <c r="D91" s="107"/>
      <c r="E91" s="2"/>
      <c r="F91" s="2"/>
      <c r="G91" s="2"/>
      <c r="H91" s="2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1"/>
    </row>
    <row r="93" ht="12.75">
      <c r="Q93" s="21"/>
    </row>
    <row r="95" spans="2:27" ht="30.75">
      <c r="B95" s="169"/>
      <c r="C95" s="169"/>
      <c r="D95" s="169"/>
      <c r="E95" s="169"/>
      <c r="P95" s="143"/>
      <c r="R95" s="143"/>
      <c r="V95" s="169"/>
      <c r="AA95" s="143"/>
    </row>
    <row r="96" spans="16:27" ht="30.75">
      <c r="P96" s="18"/>
      <c r="R96" s="18"/>
      <c r="AA96" s="18"/>
    </row>
    <row r="97" spans="16:18" ht="30.75">
      <c r="P97" s="143"/>
      <c r="R97" s="143"/>
    </row>
    <row r="98" ht="30.75">
      <c r="P98" s="143"/>
    </row>
    <row r="99" ht="30.75">
      <c r="P99" s="143"/>
    </row>
    <row r="100" ht="30.75">
      <c r="P100" s="143"/>
    </row>
    <row r="101" ht="30.75">
      <c r="P101" s="143"/>
    </row>
    <row r="102" ht="30.75">
      <c r="P102" s="143"/>
    </row>
    <row r="103" ht="30.75">
      <c r="P103" s="143"/>
    </row>
  </sheetData>
  <sheetProtection/>
  <mergeCells count="27">
    <mergeCell ref="A11:AA11"/>
    <mergeCell ref="A16:A19"/>
    <mergeCell ref="B16:B19"/>
    <mergeCell ref="C16:C19"/>
    <mergeCell ref="D16:D19"/>
    <mergeCell ref="U16:Z17"/>
    <mergeCell ref="V18:V19"/>
    <mergeCell ref="W18:W19"/>
    <mergeCell ref="H18:H19"/>
    <mergeCell ref="I18:I19"/>
    <mergeCell ref="E16:M17"/>
    <mergeCell ref="N16:N19"/>
    <mergeCell ref="AA16:AA19"/>
    <mergeCell ref="E18:F18"/>
    <mergeCell ref="G18:G19"/>
    <mergeCell ref="O18:O19"/>
    <mergeCell ref="T18:T19"/>
    <mergeCell ref="P18:P19"/>
    <mergeCell ref="P16:T17"/>
    <mergeCell ref="R18:S18"/>
    <mergeCell ref="J18:J19"/>
    <mergeCell ref="K18:L18"/>
    <mergeCell ref="X18:Y18"/>
    <mergeCell ref="Z18:Z19"/>
    <mergeCell ref="M18:M19"/>
    <mergeCell ref="Q18:Q19"/>
    <mergeCell ref="U18:U19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E1">
      <selection activeCell="H9" sqref="H9"/>
    </sheetView>
  </sheetViews>
  <sheetFormatPr defaultColWidth="9.00390625" defaultRowHeight="12.75"/>
  <cols>
    <col min="1" max="1" width="15.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25390625" style="0" customWidth="1"/>
    <col min="6" max="6" width="15.00390625" style="0" customWidth="1"/>
    <col min="7" max="7" width="16.125" style="0" customWidth="1"/>
    <col min="8" max="8" width="14.875" style="0" customWidth="1"/>
    <col min="9" max="9" width="20.25390625" style="0" customWidth="1"/>
    <col min="10" max="10" width="14.875" style="0" customWidth="1"/>
  </cols>
  <sheetData>
    <row r="1" ht="20.25">
      <c r="H1" s="150" t="s">
        <v>305</v>
      </c>
    </row>
    <row r="2" ht="20.25">
      <c r="H2" s="150" t="s">
        <v>280</v>
      </c>
    </row>
    <row r="3" ht="20.25">
      <c r="H3" s="150" t="s">
        <v>311</v>
      </c>
    </row>
    <row r="4" ht="20.25">
      <c r="H4" s="150"/>
    </row>
    <row r="5" spans="8:10" ht="20.25">
      <c r="H5" s="150" t="s">
        <v>302</v>
      </c>
      <c r="I5" s="33"/>
      <c r="J5" s="33"/>
    </row>
    <row r="6" spans="8:10" ht="20.25">
      <c r="H6" s="151" t="s">
        <v>306</v>
      </c>
      <c r="I6" s="35"/>
      <c r="J6" s="33"/>
    </row>
    <row r="7" spans="8:10" ht="20.25">
      <c r="H7" s="151" t="s">
        <v>281</v>
      </c>
      <c r="I7" s="33"/>
      <c r="J7" s="33"/>
    </row>
    <row r="8" spans="8:10" ht="20.25">
      <c r="H8" s="150" t="s">
        <v>307</v>
      </c>
      <c r="I8" s="33"/>
      <c r="J8" s="33"/>
    </row>
    <row r="9" spans="8:10" ht="20.25">
      <c r="H9" s="150"/>
      <c r="I9" s="33"/>
      <c r="J9" s="33"/>
    </row>
    <row r="10" spans="8:10" ht="20.25">
      <c r="H10" s="150"/>
      <c r="I10" s="33"/>
      <c r="J10" s="33"/>
    </row>
    <row r="11" spans="1:10" ht="24.75" customHeight="1">
      <c r="A11" s="233" t="s">
        <v>299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36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20.2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22.5" customHeight="1">
      <c r="A14" s="164" t="s">
        <v>156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5.75" customHeight="1">
      <c r="A15" s="163" t="s">
        <v>134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5" customHeight="1">
      <c r="A16" s="64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7.75" customHeight="1">
      <c r="A17" s="230" t="s">
        <v>12</v>
      </c>
      <c r="B17" s="230" t="s">
        <v>13</v>
      </c>
      <c r="C17" s="230" t="s">
        <v>5</v>
      </c>
      <c r="D17" s="230" t="s">
        <v>167</v>
      </c>
      <c r="E17" s="230" t="s">
        <v>168</v>
      </c>
      <c r="F17" s="230" t="s">
        <v>169</v>
      </c>
      <c r="G17" s="230" t="s">
        <v>170</v>
      </c>
      <c r="H17" s="230" t="s">
        <v>171</v>
      </c>
      <c r="I17" s="230" t="s">
        <v>172</v>
      </c>
      <c r="J17" s="230" t="s">
        <v>173</v>
      </c>
    </row>
    <row r="18" spans="1:10" ht="27.7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27.7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0" ht="27.7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</row>
    <row r="21" spans="1:10" ht="37.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</row>
    <row r="22" spans="1:10" ht="15.75">
      <c r="A22" s="45">
        <v>1</v>
      </c>
      <c r="B22" s="45">
        <v>2</v>
      </c>
      <c r="C22" s="45">
        <v>3</v>
      </c>
      <c r="D22" s="45">
        <v>4</v>
      </c>
      <c r="E22" s="45">
        <v>5</v>
      </c>
      <c r="F22" s="45">
        <v>6</v>
      </c>
      <c r="G22" s="45">
        <v>7</v>
      </c>
      <c r="H22" s="45">
        <v>8</v>
      </c>
      <c r="I22" s="45">
        <v>9</v>
      </c>
      <c r="J22" s="45">
        <v>10</v>
      </c>
    </row>
    <row r="23" spans="1:10" ht="52.5" customHeight="1">
      <c r="A23" s="72" t="s">
        <v>15</v>
      </c>
      <c r="B23" s="72"/>
      <c r="C23" s="72"/>
      <c r="D23" s="73" t="s">
        <v>16</v>
      </c>
      <c r="E23" s="76"/>
      <c r="F23" s="76"/>
      <c r="G23" s="76"/>
      <c r="H23" s="76"/>
      <c r="I23" s="160">
        <f>I24</f>
        <v>5502386</v>
      </c>
      <c r="J23" s="76"/>
    </row>
    <row r="24" spans="1:10" ht="48" customHeight="1">
      <c r="A24" s="72" t="s">
        <v>17</v>
      </c>
      <c r="B24" s="72"/>
      <c r="C24" s="72"/>
      <c r="D24" s="73" t="s">
        <v>16</v>
      </c>
      <c r="E24" s="76"/>
      <c r="F24" s="76"/>
      <c r="G24" s="76"/>
      <c r="H24" s="76"/>
      <c r="I24" s="160">
        <f>SUM(I25:I40)</f>
        <v>5502386</v>
      </c>
      <c r="J24" s="76"/>
    </row>
    <row r="25" spans="1:10" ht="66.75" customHeight="1">
      <c r="A25" s="185" t="s">
        <v>174</v>
      </c>
      <c r="B25" s="185" t="s">
        <v>175</v>
      </c>
      <c r="C25" s="185" t="s">
        <v>42</v>
      </c>
      <c r="D25" s="183" t="s">
        <v>176</v>
      </c>
      <c r="E25" s="165" t="s">
        <v>270</v>
      </c>
      <c r="F25" s="76">
        <v>2021</v>
      </c>
      <c r="G25" s="170">
        <v>40000</v>
      </c>
      <c r="H25" s="81"/>
      <c r="I25" s="170">
        <v>40000</v>
      </c>
      <c r="J25" s="171">
        <v>100</v>
      </c>
    </row>
    <row r="26" spans="1:10" ht="48.75" customHeight="1">
      <c r="A26" s="228"/>
      <c r="B26" s="228"/>
      <c r="C26" s="228"/>
      <c r="D26" s="184"/>
      <c r="E26" s="165" t="s">
        <v>268</v>
      </c>
      <c r="F26" s="76">
        <v>2021</v>
      </c>
      <c r="G26" s="170">
        <v>100000</v>
      </c>
      <c r="H26" s="81"/>
      <c r="I26" s="170">
        <v>100000</v>
      </c>
      <c r="J26" s="171">
        <v>100</v>
      </c>
    </row>
    <row r="27" spans="1:10" ht="51" customHeight="1">
      <c r="A27" s="228"/>
      <c r="B27" s="228"/>
      <c r="C27" s="228"/>
      <c r="D27" s="184"/>
      <c r="E27" s="165" t="s">
        <v>269</v>
      </c>
      <c r="F27" s="76">
        <v>2021</v>
      </c>
      <c r="G27" s="170">
        <v>100000</v>
      </c>
      <c r="H27" s="81"/>
      <c r="I27" s="170">
        <v>100000</v>
      </c>
      <c r="J27" s="171">
        <v>100</v>
      </c>
    </row>
    <row r="28" spans="1:10" ht="54.75" customHeight="1">
      <c r="A28" s="228"/>
      <c r="B28" s="228"/>
      <c r="C28" s="228"/>
      <c r="D28" s="184"/>
      <c r="E28" s="165" t="s">
        <v>303</v>
      </c>
      <c r="F28" s="76">
        <v>2021</v>
      </c>
      <c r="G28" s="170">
        <v>694998</v>
      </c>
      <c r="H28" s="81"/>
      <c r="I28" s="170">
        <v>694998</v>
      </c>
      <c r="J28" s="171">
        <v>100</v>
      </c>
    </row>
    <row r="29" spans="1:10" ht="35.25" customHeight="1">
      <c r="A29" s="228"/>
      <c r="B29" s="228"/>
      <c r="C29" s="228"/>
      <c r="D29" s="184"/>
      <c r="E29" s="165" t="s">
        <v>304</v>
      </c>
      <c r="F29" s="76">
        <v>2021</v>
      </c>
      <c r="G29" s="170">
        <v>299864</v>
      </c>
      <c r="H29" s="81"/>
      <c r="I29" s="170">
        <v>299864</v>
      </c>
      <c r="J29" s="171">
        <v>100</v>
      </c>
    </row>
    <row r="30" spans="1:10" ht="56.25" customHeight="1">
      <c r="A30" s="228"/>
      <c r="B30" s="228"/>
      <c r="C30" s="228"/>
      <c r="D30" s="184"/>
      <c r="E30" s="165" t="s">
        <v>250</v>
      </c>
      <c r="F30" s="76" t="s">
        <v>224</v>
      </c>
      <c r="G30" s="170">
        <f>373906+272405</f>
        <v>646311</v>
      </c>
      <c r="H30" s="171">
        <f>373248/646311*100</f>
        <v>57.75052567571959</v>
      </c>
      <c r="I30" s="170">
        <v>272405</v>
      </c>
      <c r="J30" s="171">
        <v>100</v>
      </c>
    </row>
    <row r="31" spans="1:10" ht="66.75" customHeight="1">
      <c r="A31" s="199" t="s">
        <v>66</v>
      </c>
      <c r="B31" s="199" t="s">
        <v>54</v>
      </c>
      <c r="C31" s="199" t="s">
        <v>42</v>
      </c>
      <c r="D31" s="186" t="s">
        <v>177</v>
      </c>
      <c r="E31" s="165" t="s">
        <v>266</v>
      </c>
      <c r="F31" s="76">
        <v>2021</v>
      </c>
      <c r="G31" s="170">
        <v>100000</v>
      </c>
      <c r="H31" s="81"/>
      <c r="I31" s="170">
        <v>100000</v>
      </c>
      <c r="J31" s="171">
        <v>100</v>
      </c>
    </row>
    <row r="32" spans="1:10" ht="66.75" customHeight="1">
      <c r="A32" s="229"/>
      <c r="B32" s="229"/>
      <c r="C32" s="229"/>
      <c r="D32" s="231"/>
      <c r="E32" s="165" t="s">
        <v>253</v>
      </c>
      <c r="F32" s="81" t="s">
        <v>199</v>
      </c>
      <c r="G32" s="170">
        <v>6228838</v>
      </c>
      <c r="H32" s="171">
        <f>6156/6228838*100</f>
        <v>0.09883063261558578</v>
      </c>
      <c r="I32" s="170">
        <v>2000000</v>
      </c>
      <c r="J32" s="171">
        <f>(6156+2000000)/6228838*100</f>
        <v>32.20754818153884</v>
      </c>
    </row>
    <row r="33" spans="1:11" ht="43.5" customHeight="1" hidden="1">
      <c r="A33" s="229"/>
      <c r="B33" s="229"/>
      <c r="C33" s="229"/>
      <c r="D33" s="231"/>
      <c r="E33" s="165" t="s">
        <v>255</v>
      </c>
      <c r="F33" s="81" t="s">
        <v>199</v>
      </c>
      <c r="G33" s="170"/>
      <c r="H33" s="171"/>
      <c r="I33" s="170"/>
      <c r="J33" s="171"/>
      <c r="K33" s="176"/>
    </row>
    <row r="34" spans="1:10" ht="55.5" customHeight="1">
      <c r="A34" s="229"/>
      <c r="B34" s="229"/>
      <c r="C34" s="229"/>
      <c r="D34" s="231"/>
      <c r="E34" s="165" t="s">
        <v>254</v>
      </c>
      <c r="F34" s="81">
        <v>2021</v>
      </c>
      <c r="G34" s="170">
        <v>29814</v>
      </c>
      <c r="H34" s="81"/>
      <c r="I34" s="170">
        <v>29814</v>
      </c>
      <c r="J34" s="171">
        <v>100</v>
      </c>
    </row>
    <row r="35" spans="1:10" ht="55.5" customHeight="1" hidden="1">
      <c r="A35" s="229"/>
      <c r="B35" s="229"/>
      <c r="C35" s="229"/>
      <c r="D35" s="231"/>
      <c r="E35" s="165" t="s">
        <v>271</v>
      </c>
      <c r="F35" s="76">
        <v>2021</v>
      </c>
      <c r="G35" s="159"/>
      <c r="H35" s="76"/>
      <c r="I35" s="159"/>
      <c r="J35" s="136"/>
    </row>
    <row r="36" spans="1:10" ht="46.5" customHeight="1" hidden="1">
      <c r="A36" s="200"/>
      <c r="B36" s="200"/>
      <c r="C36" s="200"/>
      <c r="D36" s="187"/>
      <c r="E36" s="135" t="s">
        <v>202</v>
      </c>
      <c r="F36" s="81">
        <v>2021</v>
      </c>
      <c r="G36" s="162"/>
      <c r="H36" s="76"/>
      <c r="I36" s="159"/>
      <c r="J36" s="136"/>
    </row>
    <row r="37" spans="1:10" ht="36.75" customHeight="1" hidden="1">
      <c r="A37" s="188" t="s">
        <v>234</v>
      </c>
      <c r="B37" s="188" t="s">
        <v>212</v>
      </c>
      <c r="C37" s="188" t="s">
        <v>42</v>
      </c>
      <c r="D37" s="183" t="s">
        <v>213</v>
      </c>
      <c r="E37" s="165" t="s">
        <v>251</v>
      </c>
      <c r="F37" s="76">
        <v>2021</v>
      </c>
      <c r="G37" s="159"/>
      <c r="H37" s="76"/>
      <c r="I37" s="159"/>
      <c r="J37" s="136"/>
    </row>
    <row r="38" spans="1:10" ht="48.75" customHeight="1" hidden="1">
      <c r="A38" s="189"/>
      <c r="B38" s="189"/>
      <c r="C38" s="189"/>
      <c r="D38" s="184"/>
      <c r="E38" s="135" t="s">
        <v>252</v>
      </c>
      <c r="F38" s="81">
        <v>2021</v>
      </c>
      <c r="G38" s="162"/>
      <c r="H38" s="76"/>
      <c r="I38" s="159"/>
      <c r="J38" s="136"/>
    </row>
    <row r="39" spans="1:11" ht="108" customHeight="1">
      <c r="A39" s="78" t="s">
        <v>62</v>
      </c>
      <c r="B39" s="78" t="s">
        <v>60</v>
      </c>
      <c r="C39" s="77" t="s">
        <v>43</v>
      </c>
      <c r="D39" s="79" t="s">
        <v>61</v>
      </c>
      <c r="E39" s="137" t="s">
        <v>203</v>
      </c>
      <c r="F39" s="81"/>
      <c r="G39" s="161"/>
      <c r="H39" s="138"/>
      <c r="I39" s="162">
        <f>1842625</f>
        <v>1842625</v>
      </c>
      <c r="J39" s="136"/>
      <c r="K39" s="65"/>
    </row>
    <row r="40" spans="1:10" ht="113.25" customHeight="1">
      <c r="A40" s="77" t="s">
        <v>44</v>
      </c>
      <c r="B40" s="77" t="s">
        <v>45</v>
      </c>
      <c r="C40" s="77" t="s">
        <v>46</v>
      </c>
      <c r="D40" s="79" t="s">
        <v>47</v>
      </c>
      <c r="E40" s="135" t="s">
        <v>267</v>
      </c>
      <c r="F40" s="76">
        <v>2021</v>
      </c>
      <c r="G40" s="161">
        <v>22680</v>
      </c>
      <c r="H40" s="136"/>
      <c r="I40" s="159">
        <v>22680</v>
      </c>
      <c r="J40" s="136">
        <v>100</v>
      </c>
    </row>
    <row r="41" spans="1:10" ht="64.5" customHeight="1">
      <c r="A41" s="72" t="s">
        <v>136</v>
      </c>
      <c r="B41" s="72"/>
      <c r="C41" s="72"/>
      <c r="D41" s="73" t="s">
        <v>74</v>
      </c>
      <c r="E41" s="135"/>
      <c r="F41" s="76"/>
      <c r="G41" s="159"/>
      <c r="H41" s="76"/>
      <c r="I41" s="160">
        <f>I42</f>
        <v>-397771</v>
      </c>
      <c r="J41" s="136"/>
    </row>
    <row r="42" spans="1:10" ht="75" customHeight="1">
      <c r="A42" s="72" t="s">
        <v>73</v>
      </c>
      <c r="B42" s="72"/>
      <c r="C42" s="72"/>
      <c r="D42" s="73" t="s">
        <v>74</v>
      </c>
      <c r="E42" s="135"/>
      <c r="F42" s="76"/>
      <c r="G42" s="159"/>
      <c r="H42" s="76"/>
      <c r="I42" s="160">
        <f>SUM(I43:I45)</f>
        <v>-397771</v>
      </c>
      <c r="J42" s="136"/>
    </row>
    <row r="43" spans="1:10" ht="66.75" customHeight="1">
      <c r="A43" s="199" t="s">
        <v>214</v>
      </c>
      <c r="B43" s="201" t="s">
        <v>215</v>
      </c>
      <c r="C43" s="201" t="s">
        <v>42</v>
      </c>
      <c r="D43" s="186" t="s">
        <v>216</v>
      </c>
      <c r="E43" s="135" t="s">
        <v>249</v>
      </c>
      <c r="F43" s="76">
        <v>2021</v>
      </c>
      <c r="G43" s="159">
        <v>359345</v>
      </c>
      <c r="H43" s="76"/>
      <c r="I43" s="159">
        <v>100000</v>
      </c>
      <c r="J43" s="136">
        <f>100000/359345*100</f>
        <v>27.828410023793293</v>
      </c>
    </row>
    <row r="44" spans="1:10" ht="48.75" customHeight="1">
      <c r="A44" s="200"/>
      <c r="B44" s="202"/>
      <c r="C44" s="202"/>
      <c r="D44" s="187"/>
      <c r="E44" s="135" t="s">
        <v>248</v>
      </c>
      <c r="F44" s="76">
        <v>2021</v>
      </c>
      <c r="G44" s="159">
        <v>100000</v>
      </c>
      <c r="H44" s="76"/>
      <c r="I44" s="159">
        <v>100000</v>
      </c>
      <c r="J44" s="136">
        <v>100</v>
      </c>
    </row>
    <row r="45" spans="1:10" ht="99.75" customHeight="1">
      <c r="A45" s="95" t="s">
        <v>132</v>
      </c>
      <c r="B45" s="95" t="s">
        <v>60</v>
      </c>
      <c r="C45" s="95" t="s">
        <v>43</v>
      </c>
      <c r="D45" s="128" t="s">
        <v>61</v>
      </c>
      <c r="E45" s="135" t="s">
        <v>225</v>
      </c>
      <c r="F45" s="76" t="s">
        <v>199</v>
      </c>
      <c r="G45" s="159">
        <v>6093630</v>
      </c>
      <c r="H45" s="76">
        <v>1.9</v>
      </c>
      <c r="I45" s="159">
        <v>-597771</v>
      </c>
      <c r="J45" s="136">
        <v>100</v>
      </c>
    </row>
    <row r="46" spans="1:10" ht="84" customHeight="1">
      <c r="A46" s="72" t="s">
        <v>137</v>
      </c>
      <c r="B46" s="72"/>
      <c r="C46" s="72"/>
      <c r="D46" s="73" t="s">
        <v>86</v>
      </c>
      <c r="E46" s="135"/>
      <c r="F46" s="76"/>
      <c r="G46" s="159"/>
      <c r="H46" s="76"/>
      <c r="I46" s="160">
        <f>I47</f>
        <v>100000</v>
      </c>
      <c r="J46" s="136"/>
    </row>
    <row r="47" spans="1:10" ht="83.25" customHeight="1">
      <c r="A47" s="72" t="s">
        <v>85</v>
      </c>
      <c r="B47" s="72"/>
      <c r="C47" s="72"/>
      <c r="D47" s="73" t="s">
        <v>86</v>
      </c>
      <c r="E47" s="135"/>
      <c r="F47" s="76"/>
      <c r="G47" s="159"/>
      <c r="H47" s="76"/>
      <c r="I47" s="160">
        <f>SUM(I48:I48)</f>
        <v>100000</v>
      </c>
      <c r="J47" s="136"/>
    </row>
    <row r="48" spans="1:10" ht="54" customHeight="1">
      <c r="A48" s="77" t="s">
        <v>233</v>
      </c>
      <c r="B48" s="77" t="s">
        <v>212</v>
      </c>
      <c r="C48" s="77" t="s">
        <v>42</v>
      </c>
      <c r="D48" s="79" t="s">
        <v>213</v>
      </c>
      <c r="E48" s="135" t="s">
        <v>247</v>
      </c>
      <c r="F48" s="76">
        <v>2021</v>
      </c>
      <c r="G48" s="159">
        <v>100000</v>
      </c>
      <c r="H48" s="76"/>
      <c r="I48" s="159">
        <v>100000</v>
      </c>
      <c r="J48" s="136">
        <v>100</v>
      </c>
    </row>
    <row r="49" spans="1:10" ht="50.25" customHeight="1">
      <c r="A49" s="72" t="s">
        <v>138</v>
      </c>
      <c r="B49" s="72"/>
      <c r="C49" s="72"/>
      <c r="D49" s="73" t="s">
        <v>89</v>
      </c>
      <c r="E49" s="135"/>
      <c r="F49" s="76"/>
      <c r="G49" s="159"/>
      <c r="H49" s="76"/>
      <c r="I49" s="160">
        <f>I50</f>
        <v>596396</v>
      </c>
      <c r="J49" s="136"/>
    </row>
    <row r="50" spans="1:10" ht="54.75" customHeight="1">
      <c r="A50" s="72" t="s">
        <v>88</v>
      </c>
      <c r="B50" s="72"/>
      <c r="C50" s="72"/>
      <c r="D50" s="73" t="s">
        <v>89</v>
      </c>
      <c r="E50" s="135"/>
      <c r="F50" s="76"/>
      <c r="G50" s="159"/>
      <c r="H50" s="76"/>
      <c r="I50" s="160">
        <f>SUM(I51:I53)</f>
        <v>596396</v>
      </c>
      <c r="J50" s="136"/>
    </row>
    <row r="51" spans="1:10" ht="69.75" customHeight="1">
      <c r="A51" s="188" t="s">
        <v>230</v>
      </c>
      <c r="B51" s="188" t="s">
        <v>231</v>
      </c>
      <c r="C51" s="188" t="s">
        <v>42</v>
      </c>
      <c r="D51" s="232" t="s">
        <v>232</v>
      </c>
      <c r="E51" s="135" t="s">
        <v>239</v>
      </c>
      <c r="F51" s="76">
        <v>2021</v>
      </c>
      <c r="G51" s="159">
        <v>392396</v>
      </c>
      <c r="H51" s="76"/>
      <c r="I51" s="159">
        <v>392396</v>
      </c>
      <c r="J51" s="136">
        <v>100</v>
      </c>
    </row>
    <row r="52" spans="1:10" ht="57" customHeight="1">
      <c r="A52" s="188"/>
      <c r="B52" s="188"/>
      <c r="C52" s="188"/>
      <c r="D52" s="232"/>
      <c r="E52" s="135" t="s">
        <v>241</v>
      </c>
      <c r="F52" s="76">
        <v>2021</v>
      </c>
      <c r="G52" s="159">
        <v>150000</v>
      </c>
      <c r="H52" s="76"/>
      <c r="I52" s="159">
        <v>150000</v>
      </c>
      <c r="J52" s="136">
        <v>100</v>
      </c>
    </row>
    <row r="53" spans="1:10" ht="66" customHeight="1">
      <c r="A53" s="189"/>
      <c r="B53" s="189"/>
      <c r="C53" s="189"/>
      <c r="D53" s="184"/>
      <c r="E53" s="135" t="s">
        <v>240</v>
      </c>
      <c r="F53" s="76">
        <v>2021</v>
      </c>
      <c r="G53" s="159">
        <f>16000+38000</f>
        <v>54000</v>
      </c>
      <c r="H53" s="76"/>
      <c r="I53" s="159">
        <v>54000</v>
      </c>
      <c r="J53" s="136">
        <v>100</v>
      </c>
    </row>
    <row r="54" spans="1:10" ht="109.5" customHeight="1" hidden="1">
      <c r="A54" s="72" t="s">
        <v>141</v>
      </c>
      <c r="B54" s="72"/>
      <c r="C54" s="72"/>
      <c r="D54" s="73" t="s">
        <v>117</v>
      </c>
      <c r="E54" s="135"/>
      <c r="F54" s="76"/>
      <c r="G54" s="159"/>
      <c r="H54" s="76"/>
      <c r="I54" s="160">
        <f>I55</f>
        <v>0</v>
      </c>
      <c r="J54" s="136"/>
    </row>
    <row r="55" spans="1:10" ht="109.5" customHeight="1" hidden="1">
      <c r="A55" s="72" t="s">
        <v>116</v>
      </c>
      <c r="B55" s="72"/>
      <c r="C55" s="72"/>
      <c r="D55" s="73" t="s">
        <v>117</v>
      </c>
      <c r="E55" s="135"/>
      <c r="F55" s="76"/>
      <c r="G55" s="159"/>
      <c r="H55" s="76"/>
      <c r="I55" s="160">
        <f>SUM(I56:I61)</f>
        <v>0</v>
      </c>
      <c r="J55" s="136"/>
    </row>
    <row r="56" spans="1:10" ht="88.5" customHeight="1" hidden="1">
      <c r="A56" s="188" t="s">
        <v>124</v>
      </c>
      <c r="B56" s="188" t="s">
        <v>54</v>
      </c>
      <c r="C56" s="188" t="s">
        <v>42</v>
      </c>
      <c r="D56" s="183" t="s">
        <v>67</v>
      </c>
      <c r="E56" s="135" t="s">
        <v>242</v>
      </c>
      <c r="F56" s="76" t="s">
        <v>224</v>
      </c>
      <c r="G56" s="161"/>
      <c r="H56" s="171"/>
      <c r="I56" s="170"/>
      <c r="J56" s="171"/>
    </row>
    <row r="57" spans="1:10" ht="71.25" customHeight="1" hidden="1">
      <c r="A57" s="189"/>
      <c r="B57" s="189"/>
      <c r="C57" s="189"/>
      <c r="D57" s="184"/>
      <c r="E57" s="135" t="s">
        <v>243</v>
      </c>
      <c r="F57" s="76">
        <v>2021</v>
      </c>
      <c r="G57" s="170"/>
      <c r="H57" s="81"/>
      <c r="I57" s="170"/>
      <c r="J57" s="171"/>
    </row>
    <row r="58" spans="1:10" ht="65.25" customHeight="1" hidden="1">
      <c r="A58" s="189"/>
      <c r="B58" s="189"/>
      <c r="C58" s="189"/>
      <c r="D58" s="184"/>
      <c r="E58" s="135" t="s">
        <v>244</v>
      </c>
      <c r="F58" s="76">
        <v>2021</v>
      </c>
      <c r="G58" s="170"/>
      <c r="H58" s="81"/>
      <c r="I58" s="170"/>
      <c r="J58" s="171"/>
    </row>
    <row r="59" spans="1:10" ht="67.5" customHeight="1" hidden="1">
      <c r="A59" s="189"/>
      <c r="B59" s="189"/>
      <c r="C59" s="189"/>
      <c r="D59" s="184"/>
      <c r="E59" s="135" t="s">
        <v>245</v>
      </c>
      <c r="F59" s="76">
        <v>2021</v>
      </c>
      <c r="G59" s="170"/>
      <c r="H59" s="81"/>
      <c r="I59" s="170"/>
      <c r="J59" s="171"/>
    </row>
    <row r="60" spans="1:10" ht="63.75" customHeight="1" hidden="1">
      <c r="A60" s="189"/>
      <c r="B60" s="189"/>
      <c r="C60" s="189"/>
      <c r="D60" s="184"/>
      <c r="E60" s="135" t="s">
        <v>246</v>
      </c>
      <c r="F60" s="76">
        <v>2021</v>
      </c>
      <c r="G60" s="170"/>
      <c r="H60" s="81"/>
      <c r="I60" s="170"/>
      <c r="J60" s="171"/>
    </row>
    <row r="61" spans="1:10" ht="48" customHeight="1" hidden="1">
      <c r="A61" s="189"/>
      <c r="B61" s="189"/>
      <c r="C61" s="189"/>
      <c r="D61" s="184"/>
      <c r="E61" s="135" t="s">
        <v>274</v>
      </c>
      <c r="F61" s="76">
        <v>2021</v>
      </c>
      <c r="G61" s="170"/>
      <c r="H61" s="171"/>
      <c r="I61" s="170"/>
      <c r="J61" s="171"/>
    </row>
    <row r="62" spans="1:10" ht="20.25">
      <c r="A62" s="139" t="s">
        <v>153</v>
      </c>
      <c r="B62" s="139" t="s">
        <v>153</v>
      </c>
      <c r="C62" s="139" t="s">
        <v>153</v>
      </c>
      <c r="D62" s="139" t="s">
        <v>131</v>
      </c>
      <c r="E62" s="139" t="s">
        <v>153</v>
      </c>
      <c r="F62" s="139" t="s">
        <v>153</v>
      </c>
      <c r="G62" s="139" t="s">
        <v>153</v>
      </c>
      <c r="H62" s="61"/>
      <c r="I62" s="158">
        <f>I23+I41+I46+I49+I54</f>
        <v>5801011</v>
      </c>
      <c r="J62" s="139" t="s">
        <v>153</v>
      </c>
    </row>
    <row r="66" spans="1:13" ht="27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69"/>
      <c r="M66" s="1"/>
    </row>
    <row r="67" spans="1:10" ht="23.25">
      <c r="A67" s="62"/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23.25">
      <c r="A68" s="62"/>
      <c r="B68" s="62"/>
      <c r="C68" s="62"/>
      <c r="D68" s="62"/>
      <c r="E68" s="62"/>
      <c r="F68" s="62"/>
      <c r="G68" s="62"/>
      <c r="H68" s="62"/>
      <c r="I68" s="62"/>
      <c r="J68" s="62"/>
    </row>
    <row r="69" ht="12.75">
      <c r="I69" s="66"/>
    </row>
  </sheetData>
  <sheetProtection/>
  <mergeCells count="35">
    <mergeCell ref="G17:G21"/>
    <mergeCell ref="H17:H21"/>
    <mergeCell ref="E17:E21"/>
    <mergeCell ref="C51:C53"/>
    <mergeCell ref="D51:D53"/>
    <mergeCell ref="D37:D38"/>
    <mergeCell ref="A11:J12"/>
    <mergeCell ref="A17:A21"/>
    <mergeCell ref="B17:B21"/>
    <mergeCell ref="C17:C21"/>
    <mergeCell ref="D17:D21"/>
    <mergeCell ref="I17:I21"/>
    <mergeCell ref="J17:J21"/>
    <mergeCell ref="F17:F21"/>
    <mergeCell ref="D25:D30"/>
    <mergeCell ref="D31:D36"/>
    <mergeCell ref="C31:C36"/>
    <mergeCell ref="C25:C30"/>
    <mergeCell ref="A37:A38"/>
    <mergeCell ref="B37:B38"/>
    <mergeCell ref="C37:C38"/>
    <mergeCell ref="A31:A36"/>
    <mergeCell ref="B31:B36"/>
    <mergeCell ref="A51:A53"/>
    <mergeCell ref="B51:B53"/>
    <mergeCell ref="A25:A30"/>
    <mergeCell ref="B25:B30"/>
    <mergeCell ref="A56:A61"/>
    <mergeCell ref="B56:B61"/>
    <mergeCell ref="C56:C61"/>
    <mergeCell ref="D56:D61"/>
    <mergeCell ref="A43:A44"/>
    <mergeCell ref="B43:B44"/>
    <mergeCell ref="C43:C44"/>
    <mergeCell ref="D43:D44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65" zoomScaleNormal="65" zoomScalePageLayoutView="0" workbookViewId="0" topLeftCell="A1">
      <selection activeCell="H9" sqref="H9"/>
    </sheetView>
  </sheetViews>
  <sheetFormatPr defaultColWidth="9.00390625" defaultRowHeight="12.75"/>
  <cols>
    <col min="1" max="1" width="18.125" style="5" customWidth="1"/>
    <col min="2" max="2" width="16.125" style="5" customWidth="1"/>
    <col min="3" max="3" width="17.875" style="5" customWidth="1"/>
    <col min="4" max="4" width="59.125" style="5" customWidth="1"/>
    <col min="5" max="5" width="75.375" style="5" customWidth="1"/>
    <col min="6" max="6" width="26.75390625" style="60" customWidth="1"/>
    <col min="7" max="7" width="24.125" style="5" bestFit="1" customWidth="1"/>
    <col min="8" max="8" width="21.75390625" style="5" bestFit="1" customWidth="1"/>
    <col min="9" max="9" width="20.00390625" style="5" bestFit="1" customWidth="1"/>
    <col min="10" max="10" width="18.25390625" style="5" bestFit="1" customWidth="1"/>
    <col min="11" max="11" width="10.375" style="5" bestFit="1" customWidth="1"/>
    <col min="12" max="16384" width="9.125" style="5" customWidth="1"/>
  </cols>
  <sheetData>
    <row r="1" spans="8:9" ht="20.25">
      <c r="H1" s="150" t="s">
        <v>305</v>
      </c>
      <c r="I1"/>
    </row>
    <row r="2" spans="8:9" ht="20.25">
      <c r="H2" s="150" t="s">
        <v>280</v>
      </c>
      <c r="I2"/>
    </row>
    <row r="3" spans="8:9" ht="20.25">
      <c r="H3" s="150" t="s">
        <v>309</v>
      </c>
      <c r="I3"/>
    </row>
    <row r="4" spans="8:9" ht="20.25">
      <c r="H4" s="150"/>
      <c r="I4"/>
    </row>
    <row r="5" spans="8:9" ht="20.25">
      <c r="H5" s="150" t="s">
        <v>275</v>
      </c>
      <c r="I5" s="33"/>
    </row>
    <row r="6" spans="8:9" ht="20.25">
      <c r="H6" s="151" t="s">
        <v>306</v>
      </c>
      <c r="I6" s="35"/>
    </row>
    <row r="7" spans="8:10" ht="23.25">
      <c r="H7" s="151" t="s">
        <v>281</v>
      </c>
      <c r="I7" s="33"/>
      <c r="J7" s="2"/>
    </row>
    <row r="8" spans="8:11" ht="23.25">
      <c r="H8" s="150" t="s">
        <v>307</v>
      </c>
      <c r="I8" s="33"/>
      <c r="J8" s="69"/>
      <c r="K8"/>
    </row>
    <row r="9" spans="8:11" ht="23.25">
      <c r="H9" s="151"/>
      <c r="J9" s="2"/>
      <c r="K9"/>
    </row>
    <row r="10" spans="8:11" ht="23.25">
      <c r="H10" s="150"/>
      <c r="J10" s="2"/>
      <c r="K10"/>
    </row>
    <row r="11" spans="9:10" ht="15.75">
      <c r="I11"/>
      <c r="J11"/>
    </row>
    <row r="12" spans="9:10" ht="15.75">
      <c r="I12"/>
      <c r="J12"/>
    </row>
    <row r="13" spans="1:10" ht="69" customHeight="1">
      <c r="A13" s="257" t="s">
        <v>300</v>
      </c>
      <c r="B13" s="258"/>
      <c r="C13" s="258"/>
      <c r="D13" s="258"/>
      <c r="E13" s="258"/>
      <c r="F13" s="258"/>
      <c r="G13" s="258"/>
      <c r="H13" s="258"/>
      <c r="I13" s="258"/>
      <c r="J13" s="258"/>
    </row>
    <row r="14" spans="1:10" ht="22.5">
      <c r="A14" s="179"/>
      <c r="B14" s="104"/>
      <c r="C14" s="104"/>
      <c r="D14" s="104"/>
      <c r="E14" s="104"/>
      <c r="F14" s="104"/>
      <c r="G14" s="104"/>
      <c r="H14" s="104"/>
      <c r="I14" s="104"/>
      <c r="J14" s="104"/>
    </row>
    <row r="15" ht="20.25">
      <c r="A15" s="103">
        <v>21528000000</v>
      </c>
    </row>
    <row r="16" ht="18.75">
      <c r="A16" s="71" t="s">
        <v>134</v>
      </c>
    </row>
    <row r="17" ht="18.75">
      <c r="J17" s="68" t="s">
        <v>0</v>
      </c>
    </row>
    <row r="18" spans="1:10" s="67" customFormat="1" ht="41.25" customHeight="1">
      <c r="A18" s="256" t="s">
        <v>12</v>
      </c>
      <c r="B18" s="256" t="s">
        <v>13</v>
      </c>
      <c r="C18" s="256" t="s">
        <v>5</v>
      </c>
      <c r="D18" s="256" t="s">
        <v>178</v>
      </c>
      <c r="E18" s="256" t="s">
        <v>179</v>
      </c>
      <c r="F18" s="256" t="s">
        <v>180</v>
      </c>
      <c r="G18" s="256" t="s">
        <v>147</v>
      </c>
      <c r="H18" s="256" t="s">
        <v>1</v>
      </c>
      <c r="I18" s="256" t="s">
        <v>2</v>
      </c>
      <c r="J18" s="256"/>
    </row>
    <row r="19" spans="1:10" s="67" customFormat="1" ht="9.75" customHeight="1" hidden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</row>
    <row r="20" spans="1:10" s="67" customFormat="1" ht="15.75" hidden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</row>
    <row r="21" spans="1:10" s="67" customFormat="1" ht="9.75" customHeight="1" hidden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</row>
    <row r="22" spans="1:10" s="67" customFormat="1" ht="15.75" hidden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</row>
    <row r="23" spans="1:10" s="67" customFormat="1" ht="51" customHeight="1">
      <c r="A23" s="256"/>
      <c r="B23" s="256"/>
      <c r="C23" s="256"/>
      <c r="D23" s="256"/>
      <c r="E23" s="256"/>
      <c r="F23" s="256"/>
      <c r="G23" s="256"/>
      <c r="H23" s="256"/>
      <c r="I23" s="256" t="s">
        <v>3</v>
      </c>
      <c r="J23" s="256" t="s">
        <v>4</v>
      </c>
    </row>
    <row r="24" spans="1:10" s="67" customFormat="1" ht="99.7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</row>
    <row r="25" spans="1:10" ht="15.75">
      <c r="A25" s="125">
        <v>1</v>
      </c>
      <c r="B25" s="125">
        <v>2</v>
      </c>
      <c r="C25" s="125">
        <v>3</v>
      </c>
      <c r="D25" s="125">
        <v>4</v>
      </c>
      <c r="E25" s="125">
        <v>5</v>
      </c>
      <c r="F25" s="125">
        <v>6</v>
      </c>
      <c r="G25" s="125">
        <v>7</v>
      </c>
      <c r="H25" s="125">
        <v>8</v>
      </c>
      <c r="I25" s="125">
        <v>9</v>
      </c>
      <c r="J25" s="125">
        <v>10</v>
      </c>
    </row>
    <row r="26" spans="1:10" ht="54.75" customHeight="1">
      <c r="A26" s="72" t="s">
        <v>15</v>
      </c>
      <c r="B26" s="72"/>
      <c r="C26" s="72"/>
      <c r="D26" s="73" t="s">
        <v>16</v>
      </c>
      <c r="E26" s="126"/>
      <c r="F26" s="126"/>
      <c r="G26" s="127">
        <f>G27</f>
        <v>10140476</v>
      </c>
      <c r="H26" s="127">
        <f>H27</f>
        <v>2259990</v>
      </c>
      <c r="I26" s="127">
        <f>I27</f>
        <v>7880486</v>
      </c>
      <c r="J26" s="127">
        <f>J27</f>
        <v>7880486</v>
      </c>
    </row>
    <row r="27" spans="1:10" ht="51.75" customHeight="1">
      <c r="A27" s="72" t="s">
        <v>17</v>
      </c>
      <c r="B27" s="72"/>
      <c r="C27" s="72"/>
      <c r="D27" s="73" t="s">
        <v>16</v>
      </c>
      <c r="E27" s="126"/>
      <c r="F27" s="126"/>
      <c r="G27" s="127">
        <f>SUM(G28:G46)</f>
        <v>10140476</v>
      </c>
      <c r="H27" s="127">
        <f>SUM(H28:H46)</f>
        <v>2259990</v>
      </c>
      <c r="I27" s="127">
        <f>SUM(I28:I46)</f>
        <v>7880486</v>
      </c>
      <c r="J27" s="127">
        <f>SUM(J28:J46)</f>
        <v>7880486</v>
      </c>
    </row>
    <row r="28" spans="1:10" ht="132.75" customHeight="1">
      <c r="A28" s="74" t="s">
        <v>18</v>
      </c>
      <c r="B28" s="74" t="s">
        <v>19</v>
      </c>
      <c r="C28" s="74" t="s">
        <v>20</v>
      </c>
      <c r="D28" s="155" t="s">
        <v>21</v>
      </c>
      <c r="E28" s="75" t="s">
        <v>196</v>
      </c>
      <c r="F28" s="81" t="s">
        <v>264</v>
      </c>
      <c r="G28" s="70">
        <f>H28+I28</f>
        <v>49985</v>
      </c>
      <c r="H28" s="70">
        <f>49985</f>
        <v>49985</v>
      </c>
      <c r="I28" s="70"/>
      <c r="J28" s="70"/>
    </row>
    <row r="29" spans="1:10" ht="132.75" customHeight="1">
      <c r="A29" s="77" t="s">
        <v>24</v>
      </c>
      <c r="B29" s="182" t="s">
        <v>25</v>
      </c>
      <c r="C29" s="77" t="s">
        <v>26</v>
      </c>
      <c r="D29" s="79" t="s">
        <v>27</v>
      </c>
      <c r="E29" s="80" t="s">
        <v>223</v>
      </c>
      <c r="F29" s="81" t="s">
        <v>219</v>
      </c>
      <c r="G29" s="70">
        <f>H29+I29</f>
        <v>1916797</v>
      </c>
      <c r="H29" s="70">
        <f>792030+91467+210000</f>
        <v>1093497</v>
      </c>
      <c r="I29" s="70">
        <f>J29</f>
        <v>823300</v>
      </c>
      <c r="J29" s="70">
        <f>823300</f>
        <v>823300</v>
      </c>
    </row>
    <row r="30" spans="1:10" ht="138.75" customHeight="1">
      <c r="A30" s="77" t="s">
        <v>30</v>
      </c>
      <c r="B30" s="77" t="s">
        <v>31</v>
      </c>
      <c r="C30" s="77" t="s">
        <v>32</v>
      </c>
      <c r="D30" s="79" t="s">
        <v>211</v>
      </c>
      <c r="E30" s="80" t="s">
        <v>183</v>
      </c>
      <c r="F30" s="81" t="s">
        <v>220</v>
      </c>
      <c r="G30" s="70">
        <f aca="true" t="shared" si="0" ref="G30:G46">H30+I30</f>
        <v>300000</v>
      </c>
      <c r="H30" s="70"/>
      <c r="I30" s="70">
        <f>J30</f>
        <v>300000</v>
      </c>
      <c r="J30" s="70">
        <f>300000</f>
        <v>300000</v>
      </c>
    </row>
    <row r="31" spans="1:10" ht="141" customHeight="1" hidden="1">
      <c r="A31" s="77" t="s">
        <v>36</v>
      </c>
      <c r="B31" s="77" t="s">
        <v>37</v>
      </c>
      <c r="C31" s="77" t="s">
        <v>33</v>
      </c>
      <c r="D31" s="79" t="s">
        <v>186</v>
      </c>
      <c r="E31" s="84" t="s">
        <v>187</v>
      </c>
      <c r="F31" s="85" t="s">
        <v>276</v>
      </c>
      <c r="G31" s="70">
        <f t="shared" si="0"/>
        <v>0</v>
      </c>
      <c r="H31" s="70"/>
      <c r="I31" s="70"/>
      <c r="J31" s="70"/>
    </row>
    <row r="32" spans="1:10" ht="160.5" customHeight="1" hidden="1">
      <c r="A32" s="77" t="s">
        <v>68</v>
      </c>
      <c r="B32" s="77" t="s">
        <v>69</v>
      </c>
      <c r="C32" s="77" t="s">
        <v>41</v>
      </c>
      <c r="D32" s="86" t="s">
        <v>70</v>
      </c>
      <c r="E32" s="75" t="s">
        <v>185</v>
      </c>
      <c r="F32" s="81" t="s">
        <v>277</v>
      </c>
      <c r="G32" s="70">
        <f t="shared" si="0"/>
        <v>0</v>
      </c>
      <c r="H32" s="70"/>
      <c r="I32" s="70"/>
      <c r="J32" s="70"/>
    </row>
    <row r="33" spans="1:10" ht="145.5" customHeight="1">
      <c r="A33" s="201" t="s">
        <v>174</v>
      </c>
      <c r="B33" s="201" t="s">
        <v>175</v>
      </c>
      <c r="C33" s="201" t="s">
        <v>42</v>
      </c>
      <c r="D33" s="186" t="s">
        <v>176</v>
      </c>
      <c r="E33" s="80" t="s">
        <v>223</v>
      </c>
      <c r="F33" s="81" t="s">
        <v>219</v>
      </c>
      <c r="G33" s="70">
        <f>I33+H33</f>
        <v>1234862</v>
      </c>
      <c r="H33" s="70"/>
      <c r="I33" s="70">
        <f aca="true" t="shared" si="1" ref="I33:I38">J33</f>
        <v>1234862</v>
      </c>
      <c r="J33" s="70">
        <f>240000+994862</f>
        <v>1234862</v>
      </c>
    </row>
    <row r="34" spans="1:10" ht="127.5" customHeight="1">
      <c r="A34" s="239"/>
      <c r="B34" s="239"/>
      <c r="C34" s="239"/>
      <c r="D34" s="231"/>
      <c r="E34" s="80" t="s">
        <v>183</v>
      </c>
      <c r="F34" s="81" t="s">
        <v>220</v>
      </c>
      <c r="G34" s="70">
        <f>I34+H34</f>
        <v>272405</v>
      </c>
      <c r="H34" s="70"/>
      <c r="I34" s="70">
        <f t="shared" si="1"/>
        <v>272405</v>
      </c>
      <c r="J34" s="70">
        <v>272405</v>
      </c>
    </row>
    <row r="35" spans="1:10" ht="54" customHeight="1">
      <c r="A35" s="77" t="s">
        <v>66</v>
      </c>
      <c r="B35" s="77" t="s">
        <v>54</v>
      </c>
      <c r="C35" s="77" t="s">
        <v>42</v>
      </c>
      <c r="D35" s="79" t="s">
        <v>67</v>
      </c>
      <c r="E35" s="242" t="s">
        <v>188</v>
      </c>
      <c r="F35" s="245" t="s">
        <v>278</v>
      </c>
      <c r="G35" s="70">
        <f>H35+I35</f>
        <v>2129814</v>
      </c>
      <c r="H35" s="70"/>
      <c r="I35" s="70">
        <f t="shared" si="1"/>
        <v>2129814</v>
      </c>
      <c r="J35" s="70">
        <f>29814+2000000+100000</f>
        <v>2129814</v>
      </c>
    </row>
    <row r="36" spans="1:10" s="2" customFormat="1" ht="54" customHeight="1" hidden="1">
      <c r="A36" s="77" t="s">
        <v>234</v>
      </c>
      <c r="B36" s="77" t="s">
        <v>212</v>
      </c>
      <c r="C36" s="95" t="s">
        <v>42</v>
      </c>
      <c r="D36" s="128" t="s">
        <v>213</v>
      </c>
      <c r="E36" s="243"/>
      <c r="F36" s="246"/>
      <c r="G36" s="70">
        <f>H36+I36</f>
        <v>0</v>
      </c>
      <c r="H36" s="70"/>
      <c r="I36" s="70">
        <f t="shared" si="1"/>
        <v>0</v>
      </c>
      <c r="J36" s="70"/>
    </row>
    <row r="37" spans="1:10" ht="78" customHeight="1">
      <c r="A37" s="77" t="s">
        <v>62</v>
      </c>
      <c r="B37" s="77" t="s">
        <v>60</v>
      </c>
      <c r="C37" s="77" t="s">
        <v>43</v>
      </c>
      <c r="D37" s="75" t="s">
        <v>61</v>
      </c>
      <c r="E37" s="244"/>
      <c r="F37" s="247"/>
      <c r="G37" s="70">
        <f t="shared" si="0"/>
        <v>1842625</v>
      </c>
      <c r="H37" s="70"/>
      <c r="I37" s="70">
        <f t="shared" si="1"/>
        <v>1842625</v>
      </c>
      <c r="J37" s="70">
        <f>1842625</f>
        <v>1842625</v>
      </c>
    </row>
    <row r="38" spans="1:10" ht="129" customHeight="1">
      <c r="A38" s="77" t="s">
        <v>44</v>
      </c>
      <c r="B38" s="77" t="s">
        <v>45</v>
      </c>
      <c r="C38" s="77" t="s">
        <v>46</v>
      </c>
      <c r="D38" s="79" t="s">
        <v>47</v>
      </c>
      <c r="E38" s="84" t="s">
        <v>187</v>
      </c>
      <c r="F38" s="85" t="s">
        <v>279</v>
      </c>
      <c r="G38" s="70">
        <f t="shared" si="0"/>
        <v>22680</v>
      </c>
      <c r="H38" s="70"/>
      <c r="I38" s="70">
        <f t="shared" si="1"/>
        <v>22680</v>
      </c>
      <c r="J38" s="70">
        <f>22680</f>
        <v>22680</v>
      </c>
    </row>
    <row r="39" spans="1:10" s="150" customFormat="1" ht="129" customHeight="1" hidden="1">
      <c r="A39" s="77" t="s">
        <v>256</v>
      </c>
      <c r="B39" s="77" t="s">
        <v>257</v>
      </c>
      <c r="C39" s="77" t="s">
        <v>46</v>
      </c>
      <c r="D39" s="79" t="s">
        <v>258</v>
      </c>
      <c r="E39" s="75" t="s">
        <v>185</v>
      </c>
      <c r="F39" s="81" t="s">
        <v>221</v>
      </c>
      <c r="G39" s="154"/>
      <c r="H39" s="154"/>
      <c r="I39" s="154"/>
      <c r="J39" s="154"/>
    </row>
    <row r="40" spans="1:10" ht="143.25" customHeight="1">
      <c r="A40" s="199" t="s">
        <v>63</v>
      </c>
      <c r="B40" s="199" t="s">
        <v>64</v>
      </c>
      <c r="C40" s="199" t="s">
        <v>43</v>
      </c>
      <c r="D40" s="252" t="s">
        <v>65</v>
      </c>
      <c r="E40" s="75" t="s">
        <v>185</v>
      </c>
      <c r="F40" s="81" t="s">
        <v>282</v>
      </c>
      <c r="G40" s="70">
        <f t="shared" si="0"/>
        <v>1000000</v>
      </c>
      <c r="H40" s="70"/>
      <c r="I40" s="70">
        <f>J40</f>
        <v>1000000</v>
      </c>
      <c r="J40" s="70">
        <f>1000000</f>
        <v>1000000</v>
      </c>
    </row>
    <row r="41" spans="1:10" ht="122.25" customHeight="1" hidden="1">
      <c r="A41" s="251"/>
      <c r="B41" s="251"/>
      <c r="C41" s="251"/>
      <c r="D41" s="253"/>
      <c r="E41" s="80" t="s">
        <v>181</v>
      </c>
      <c r="F41" s="81" t="s">
        <v>182</v>
      </c>
      <c r="G41" s="70">
        <f t="shared" si="0"/>
        <v>0</v>
      </c>
      <c r="H41" s="70"/>
      <c r="I41" s="70">
        <f>J41</f>
        <v>0</v>
      </c>
      <c r="J41" s="70">
        <f>945200-790494-154706</f>
        <v>0</v>
      </c>
    </row>
    <row r="42" spans="1:10" ht="133.5" customHeight="1">
      <c r="A42" s="200"/>
      <c r="B42" s="200"/>
      <c r="C42" s="200"/>
      <c r="D42" s="254"/>
      <c r="E42" s="80" t="s">
        <v>183</v>
      </c>
      <c r="F42" s="81" t="s">
        <v>220</v>
      </c>
      <c r="G42" s="70">
        <f t="shared" si="0"/>
        <v>254800</v>
      </c>
      <c r="H42" s="70"/>
      <c r="I42" s="70">
        <f>J42</f>
        <v>254800</v>
      </c>
      <c r="J42" s="70">
        <f>254800</f>
        <v>254800</v>
      </c>
    </row>
    <row r="43" spans="1:10" ht="143.25" customHeight="1">
      <c r="A43" s="188" t="s">
        <v>48</v>
      </c>
      <c r="B43" s="188" t="s">
        <v>49</v>
      </c>
      <c r="C43" s="188" t="s">
        <v>43</v>
      </c>
      <c r="D43" s="249" t="s">
        <v>87</v>
      </c>
      <c r="E43" s="75" t="s">
        <v>196</v>
      </c>
      <c r="F43" s="81" t="s">
        <v>264</v>
      </c>
      <c r="G43" s="70">
        <f t="shared" si="0"/>
        <v>16508</v>
      </c>
      <c r="H43" s="70">
        <f>16508</f>
        <v>16508</v>
      </c>
      <c r="I43" s="70"/>
      <c r="J43" s="70"/>
    </row>
    <row r="44" spans="1:10" ht="146.25" customHeight="1">
      <c r="A44" s="248"/>
      <c r="B44" s="248"/>
      <c r="C44" s="248"/>
      <c r="D44" s="250"/>
      <c r="E44" s="75" t="s">
        <v>273</v>
      </c>
      <c r="F44" s="81" t="s">
        <v>301</v>
      </c>
      <c r="G44" s="70">
        <f t="shared" si="0"/>
        <v>1100000</v>
      </c>
      <c r="H44" s="70">
        <v>1100000</v>
      </c>
      <c r="I44" s="70"/>
      <c r="J44" s="70"/>
    </row>
    <row r="45" spans="1:10" ht="129.75" customHeight="1" hidden="1">
      <c r="A45" s="248"/>
      <c r="B45" s="248"/>
      <c r="C45" s="248"/>
      <c r="D45" s="250"/>
      <c r="E45" s="75" t="s">
        <v>185</v>
      </c>
      <c r="F45" s="81" t="s">
        <v>283</v>
      </c>
      <c r="G45" s="70">
        <f t="shared" si="0"/>
        <v>0</v>
      </c>
      <c r="H45" s="70"/>
      <c r="I45" s="70"/>
      <c r="J45" s="70"/>
    </row>
    <row r="46" spans="1:10" ht="146.25" customHeight="1" hidden="1">
      <c r="A46" s="77" t="s">
        <v>50</v>
      </c>
      <c r="B46" s="82">
        <v>8210</v>
      </c>
      <c r="C46" s="77" t="s">
        <v>52</v>
      </c>
      <c r="D46" s="75" t="s">
        <v>53</v>
      </c>
      <c r="E46" s="79" t="s">
        <v>272</v>
      </c>
      <c r="F46" s="81" t="s">
        <v>238</v>
      </c>
      <c r="G46" s="70">
        <f t="shared" si="0"/>
        <v>0</v>
      </c>
      <c r="H46" s="70"/>
      <c r="I46" s="70"/>
      <c r="J46" s="70"/>
    </row>
    <row r="47" spans="1:10" ht="53.25" customHeight="1">
      <c r="A47" s="72" t="s">
        <v>136</v>
      </c>
      <c r="B47" s="77"/>
      <c r="C47" s="78"/>
      <c r="D47" s="87" t="s">
        <v>189</v>
      </c>
      <c r="E47" s="84"/>
      <c r="F47" s="81"/>
      <c r="G47" s="127">
        <f>G48</f>
        <v>-152673</v>
      </c>
      <c r="H47" s="127">
        <f>H48</f>
        <v>245098</v>
      </c>
      <c r="I47" s="127">
        <f>I48</f>
        <v>-397771</v>
      </c>
      <c r="J47" s="127">
        <f>J48</f>
        <v>-397771</v>
      </c>
    </row>
    <row r="48" spans="1:10" ht="54.75" customHeight="1">
      <c r="A48" s="72" t="s">
        <v>73</v>
      </c>
      <c r="B48" s="77"/>
      <c r="C48" s="78"/>
      <c r="D48" s="87" t="s">
        <v>189</v>
      </c>
      <c r="E48" s="84"/>
      <c r="F48" s="81"/>
      <c r="G48" s="127">
        <f>H48+I48</f>
        <v>-152673</v>
      </c>
      <c r="H48" s="127">
        <f>SUM(H49:H52)</f>
        <v>245098</v>
      </c>
      <c r="I48" s="127">
        <f>SUM(I49:I52)</f>
        <v>-397771</v>
      </c>
      <c r="J48" s="127">
        <f>SUM(J49:J52)</f>
        <v>-397771</v>
      </c>
    </row>
    <row r="49" spans="1:10" ht="126" customHeight="1">
      <c r="A49" s="77" t="s">
        <v>76</v>
      </c>
      <c r="B49" s="77" t="s">
        <v>77</v>
      </c>
      <c r="C49" s="78" t="s">
        <v>78</v>
      </c>
      <c r="D49" s="75" t="s">
        <v>79</v>
      </c>
      <c r="E49" s="84" t="s">
        <v>190</v>
      </c>
      <c r="F49" s="81" t="s">
        <v>284</v>
      </c>
      <c r="G49" s="70">
        <f>H49+I49</f>
        <v>198203</v>
      </c>
      <c r="H49" s="70">
        <f>19895+34045+35000+59330+49933</f>
        <v>198203</v>
      </c>
      <c r="I49" s="70"/>
      <c r="J49" s="70"/>
    </row>
    <row r="50" spans="1:10" ht="162" customHeight="1">
      <c r="A50" s="77" t="s">
        <v>205</v>
      </c>
      <c r="B50" s="77" t="s">
        <v>206</v>
      </c>
      <c r="C50" s="77" t="s">
        <v>80</v>
      </c>
      <c r="D50" s="173" t="s">
        <v>217</v>
      </c>
      <c r="E50" s="84" t="s">
        <v>190</v>
      </c>
      <c r="F50" s="81" t="s">
        <v>285</v>
      </c>
      <c r="G50" s="70">
        <f>H50+I50</f>
        <v>46895</v>
      </c>
      <c r="H50" s="70">
        <f>46895</f>
        <v>46895</v>
      </c>
      <c r="I50" s="70"/>
      <c r="J50" s="70"/>
    </row>
    <row r="51" spans="1:10" s="150" customFormat="1" ht="149.25" customHeight="1">
      <c r="A51" s="74" t="s">
        <v>214</v>
      </c>
      <c r="B51" s="74" t="s">
        <v>215</v>
      </c>
      <c r="C51" s="74" t="s">
        <v>42</v>
      </c>
      <c r="D51" s="106" t="s">
        <v>216</v>
      </c>
      <c r="E51" s="84" t="s">
        <v>191</v>
      </c>
      <c r="F51" s="81" t="s">
        <v>286</v>
      </c>
      <c r="G51" s="70">
        <f>H51+I51</f>
        <v>200000</v>
      </c>
      <c r="H51" s="70"/>
      <c r="I51" s="70">
        <f>J51</f>
        <v>200000</v>
      </c>
      <c r="J51" s="70">
        <v>200000</v>
      </c>
    </row>
    <row r="52" spans="1:10" ht="132.75" customHeight="1">
      <c r="A52" s="77" t="s">
        <v>132</v>
      </c>
      <c r="B52" s="77" t="s">
        <v>60</v>
      </c>
      <c r="C52" s="77" t="s">
        <v>43</v>
      </c>
      <c r="D52" s="79" t="s">
        <v>61</v>
      </c>
      <c r="E52" s="84" t="s">
        <v>191</v>
      </c>
      <c r="F52" s="81" t="s">
        <v>287</v>
      </c>
      <c r="G52" s="70">
        <f>H52+I52</f>
        <v>-597771</v>
      </c>
      <c r="H52" s="70"/>
      <c r="I52" s="70">
        <f>J52</f>
        <v>-597771</v>
      </c>
      <c r="J52" s="70">
        <f>-597771</f>
        <v>-597771</v>
      </c>
    </row>
    <row r="53" spans="1:10" ht="64.5" customHeight="1">
      <c r="A53" s="72" t="s">
        <v>137</v>
      </c>
      <c r="B53" s="88"/>
      <c r="C53" s="78"/>
      <c r="D53" s="87" t="s">
        <v>86</v>
      </c>
      <c r="E53" s="84"/>
      <c r="F53" s="81"/>
      <c r="G53" s="127">
        <f>G54</f>
        <v>100000</v>
      </c>
      <c r="H53" s="127"/>
      <c r="I53" s="127">
        <f>I54</f>
        <v>100000</v>
      </c>
      <c r="J53" s="127">
        <f>J54</f>
        <v>100000</v>
      </c>
    </row>
    <row r="54" spans="1:10" ht="69" customHeight="1">
      <c r="A54" s="72" t="s">
        <v>85</v>
      </c>
      <c r="B54" s="88"/>
      <c r="C54" s="78"/>
      <c r="D54" s="87" t="s">
        <v>86</v>
      </c>
      <c r="E54" s="84"/>
      <c r="F54" s="81"/>
      <c r="G54" s="127">
        <f>SUM(G55:G55)</f>
        <v>100000</v>
      </c>
      <c r="H54" s="127"/>
      <c r="I54" s="127">
        <f>SUM(I55:I55)</f>
        <v>100000</v>
      </c>
      <c r="J54" s="127">
        <f>SUM(J55:J55)</f>
        <v>100000</v>
      </c>
    </row>
    <row r="55" spans="1:10" s="2" customFormat="1" ht="134.25" customHeight="1">
      <c r="A55" s="74" t="s">
        <v>233</v>
      </c>
      <c r="B55" s="74" t="s">
        <v>212</v>
      </c>
      <c r="C55" s="95" t="s">
        <v>42</v>
      </c>
      <c r="D55" s="128" t="s">
        <v>213</v>
      </c>
      <c r="E55" s="172" t="s">
        <v>184</v>
      </c>
      <c r="F55" s="81" t="s">
        <v>288</v>
      </c>
      <c r="G55" s="70">
        <f>H55+I55</f>
        <v>100000</v>
      </c>
      <c r="H55" s="70"/>
      <c r="I55" s="70">
        <f>J55</f>
        <v>100000</v>
      </c>
      <c r="J55" s="70">
        <f>100000</f>
        <v>100000</v>
      </c>
    </row>
    <row r="56" spans="1:10" ht="57.75" customHeight="1">
      <c r="A56" s="72" t="s">
        <v>138</v>
      </c>
      <c r="B56" s="88"/>
      <c r="C56" s="78"/>
      <c r="D56" s="90" t="s">
        <v>192</v>
      </c>
      <c r="E56" s="79"/>
      <c r="F56" s="81"/>
      <c r="G56" s="127">
        <f>G57</f>
        <v>1152454</v>
      </c>
      <c r="H56" s="127">
        <f>H57</f>
        <v>166983</v>
      </c>
      <c r="I56" s="127">
        <f>I57</f>
        <v>985471</v>
      </c>
      <c r="J56" s="127">
        <f>J57</f>
        <v>985471</v>
      </c>
    </row>
    <row r="57" spans="1:10" ht="61.5" customHeight="1">
      <c r="A57" s="72" t="s">
        <v>88</v>
      </c>
      <c r="B57" s="88"/>
      <c r="C57" s="78"/>
      <c r="D57" s="90" t="s">
        <v>192</v>
      </c>
      <c r="E57" s="79"/>
      <c r="F57" s="81"/>
      <c r="G57" s="127">
        <f aca="true" t="shared" si="2" ref="G57:G62">H57+I57</f>
        <v>1152454</v>
      </c>
      <c r="H57" s="127">
        <f>SUM(H58:H62)</f>
        <v>166983</v>
      </c>
      <c r="I57" s="127">
        <f>SUM(I58:I62)</f>
        <v>985471</v>
      </c>
      <c r="J57" s="127">
        <f>SUM(J58:J62)</f>
        <v>985471</v>
      </c>
    </row>
    <row r="58" spans="1:10" ht="141.75" customHeight="1">
      <c r="A58" s="77" t="s">
        <v>208</v>
      </c>
      <c r="B58" s="77" t="s">
        <v>209</v>
      </c>
      <c r="C58" s="77" t="s">
        <v>81</v>
      </c>
      <c r="D58" s="79" t="s">
        <v>90</v>
      </c>
      <c r="E58" s="240" t="s">
        <v>222</v>
      </c>
      <c r="F58" s="234" t="s">
        <v>289</v>
      </c>
      <c r="G58" s="70">
        <f t="shared" si="2"/>
        <v>271906</v>
      </c>
      <c r="H58" s="70">
        <f>71906+24127</f>
        <v>96033</v>
      </c>
      <c r="I58" s="70">
        <f>J58</f>
        <v>175873</v>
      </c>
      <c r="J58" s="70">
        <f>175873</f>
        <v>175873</v>
      </c>
    </row>
    <row r="59" spans="1:10" ht="114.75" customHeight="1">
      <c r="A59" s="77" t="s">
        <v>95</v>
      </c>
      <c r="B59" s="77" t="s">
        <v>96</v>
      </c>
      <c r="C59" s="77" t="s">
        <v>97</v>
      </c>
      <c r="D59" s="75" t="s">
        <v>98</v>
      </c>
      <c r="E59" s="241"/>
      <c r="F59" s="241"/>
      <c r="G59" s="70">
        <f t="shared" si="2"/>
        <v>185502</v>
      </c>
      <c r="H59" s="70">
        <f>9000</f>
        <v>9000</v>
      </c>
      <c r="I59" s="70">
        <f>J59</f>
        <v>176502</v>
      </c>
      <c r="J59" s="70">
        <f>46750+32522+97230</f>
        <v>176502</v>
      </c>
    </row>
    <row r="60" spans="1:10" ht="155.25" customHeight="1">
      <c r="A60" s="77" t="s">
        <v>99</v>
      </c>
      <c r="B60" s="77" t="s">
        <v>100</v>
      </c>
      <c r="C60" s="77" t="s">
        <v>101</v>
      </c>
      <c r="D60" s="79" t="s">
        <v>102</v>
      </c>
      <c r="E60" s="155" t="s">
        <v>222</v>
      </c>
      <c r="F60" s="156" t="s">
        <v>290</v>
      </c>
      <c r="G60" s="70">
        <f t="shared" si="2"/>
        <v>16000</v>
      </c>
      <c r="H60" s="70">
        <f>16000</f>
        <v>16000</v>
      </c>
      <c r="I60" s="70"/>
      <c r="J60" s="70"/>
    </row>
    <row r="61" spans="1:10" s="150" customFormat="1" ht="142.5" customHeight="1">
      <c r="A61" s="77" t="s">
        <v>230</v>
      </c>
      <c r="B61" s="95" t="s">
        <v>231</v>
      </c>
      <c r="C61" s="95" t="s">
        <v>42</v>
      </c>
      <c r="D61" s="165" t="s">
        <v>232</v>
      </c>
      <c r="E61" s="75" t="s">
        <v>222</v>
      </c>
      <c r="F61" s="81" t="s">
        <v>291</v>
      </c>
      <c r="G61" s="70">
        <f t="shared" si="2"/>
        <v>596396</v>
      </c>
      <c r="H61" s="70"/>
      <c r="I61" s="70">
        <f>J61</f>
        <v>596396</v>
      </c>
      <c r="J61" s="70">
        <f>150000+54000+392396</f>
        <v>596396</v>
      </c>
    </row>
    <row r="62" spans="1:10" ht="128.25" customHeight="1">
      <c r="A62" s="77" t="s">
        <v>103</v>
      </c>
      <c r="B62" s="82">
        <v>7622</v>
      </c>
      <c r="C62" s="78" t="s">
        <v>105</v>
      </c>
      <c r="D62" s="89" t="s">
        <v>193</v>
      </c>
      <c r="E62" s="75" t="s">
        <v>222</v>
      </c>
      <c r="F62" s="81" t="s">
        <v>292</v>
      </c>
      <c r="G62" s="70">
        <f t="shared" si="2"/>
        <v>82650</v>
      </c>
      <c r="H62" s="70">
        <f>30150+15800</f>
        <v>45950</v>
      </c>
      <c r="I62" s="70">
        <f>J62</f>
        <v>36700</v>
      </c>
      <c r="J62" s="70">
        <f>12000+24700</f>
        <v>36700</v>
      </c>
    </row>
    <row r="63" spans="1:10" ht="83.25" customHeight="1">
      <c r="A63" s="72" t="s">
        <v>139</v>
      </c>
      <c r="B63" s="88"/>
      <c r="C63" s="78"/>
      <c r="D63" s="87" t="s">
        <v>108</v>
      </c>
      <c r="E63" s="84"/>
      <c r="F63" s="85"/>
      <c r="G63" s="127">
        <f>G64</f>
        <v>182926</v>
      </c>
      <c r="H63" s="127">
        <f>H64</f>
        <v>182926</v>
      </c>
      <c r="I63" s="127"/>
      <c r="J63" s="127"/>
    </row>
    <row r="64" spans="1:10" ht="79.5" customHeight="1">
      <c r="A64" s="72" t="s">
        <v>107</v>
      </c>
      <c r="B64" s="88"/>
      <c r="C64" s="78"/>
      <c r="D64" s="87" t="s">
        <v>108</v>
      </c>
      <c r="E64" s="84"/>
      <c r="F64" s="85"/>
      <c r="G64" s="127">
        <f>SUM(G65:G66)</f>
        <v>182926</v>
      </c>
      <c r="H64" s="127">
        <f>SUM(H65:H66)</f>
        <v>182926</v>
      </c>
      <c r="I64" s="127"/>
      <c r="J64" s="127"/>
    </row>
    <row r="65" spans="1:10" s="150" customFormat="1" ht="99.75" customHeight="1">
      <c r="A65" s="77" t="s">
        <v>109</v>
      </c>
      <c r="B65" s="77" t="s">
        <v>75</v>
      </c>
      <c r="C65" s="77" t="s">
        <v>20</v>
      </c>
      <c r="D65" s="79" t="s">
        <v>204</v>
      </c>
      <c r="E65" s="255" t="s">
        <v>194</v>
      </c>
      <c r="F65" s="234" t="s">
        <v>293</v>
      </c>
      <c r="G65" s="70">
        <f>H65+I65</f>
        <v>50000</v>
      </c>
      <c r="H65" s="70">
        <f>50000</f>
        <v>50000</v>
      </c>
      <c r="I65" s="70"/>
      <c r="J65" s="70"/>
    </row>
    <row r="66" spans="1:10" ht="97.5" customHeight="1">
      <c r="A66" s="83">
        <v>1115062</v>
      </c>
      <c r="B66" s="83">
        <v>5062</v>
      </c>
      <c r="C66" s="78" t="s">
        <v>83</v>
      </c>
      <c r="D66" s="75" t="s">
        <v>195</v>
      </c>
      <c r="E66" s="187"/>
      <c r="F66" s="200"/>
      <c r="G66" s="70">
        <f>H66+I66</f>
        <v>132926</v>
      </c>
      <c r="H66" s="70">
        <f>132926</f>
        <v>132926</v>
      </c>
      <c r="I66" s="70"/>
      <c r="J66" s="70"/>
    </row>
    <row r="67" spans="1:10" ht="85.5" customHeight="1">
      <c r="A67" s="91" t="s">
        <v>140</v>
      </c>
      <c r="B67" s="91"/>
      <c r="C67" s="91"/>
      <c r="D67" s="92" t="s">
        <v>114</v>
      </c>
      <c r="E67" s="75"/>
      <c r="F67" s="81"/>
      <c r="G67" s="127">
        <f>G68</f>
        <v>802858</v>
      </c>
      <c r="H67" s="127">
        <f>H68</f>
        <v>802858</v>
      </c>
      <c r="I67" s="127"/>
      <c r="J67" s="127"/>
    </row>
    <row r="68" spans="1:10" ht="90" customHeight="1">
      <c r="A68" s="72" t="s">
        <v>113</v>
      </c>
      <c r="B68" s="72"/>
      <c r="C68" s="72"/>
      <c r="D68" s="93" t="s">
        <v>114</v>
      </c>
      <c r="E68" s="75"/>
      <c r="F68" s="81"/>
      <c r="G68" s="127">
        <f>SUM(G69:G69)</f>
        <v>802858</v>
      </c>
      <c r="H68" s="127">
        <f>SUM(H69:H69)</f>
        <v>802858</v>
      </c>
      <c r="I68" s="127"/>
      <c r="J68" s="127"/>
    </row>
    <row r="69" spans="1:10" ht="132" customHeight="1">
      <c r="A69" s="77" t="s">
        <v>115</v>
      </c>
      <c r="B69" s="77" t="s">
        <v>49</v>
      </c>
      <c r="C69" s="77" t="s">
        <v>43</v>
      </c>
      <c r="D69" s="79" t="s">
        <v>133</v>
      </c>
      <c r="E69" s="79" t="s">
        <v>198</v>
      </c>
      <c r="F69" s="81" t="s">
        <v>294</v>
      </c>
      <c r="G69" s="70">
        <f>H69+I69</f>
        <v>802858</v>
      </c>
      <c r="H69" s="70">
        <v>802858</v>
      </c>
      <c r="I69" s="70"/>
      <c r="J69" s="70"/>
    </row>
    <row r="70" spans="1:10" ht="82.5" customHeight="1" hidden="1">
      <c r="A70" s="72" t="s">
        <v>141</v>
      </c>
      <c r="B70" s="72"/>
      <c r="C70" s="72"/>
      <c r="D70" s="73" t="s">
        <v>117</v>
      </c>
      <c r="E70" s="75"/>
      <c r="F70" s="81"/>
      <c r="G70" s="127">
        <f>G71</f>
        <v>0</v>
      </c>
      <c r="H70" s="127">
        <f>H71</f>
        <v>0</v>
      </c>
      <c r="I70" s="127">
        <f>I71</f>
        <v>0</v>
      </c>
      <c r="J70" s="127">
        <f>J71</f>
        <v>0</v>
      </c>
    </row>
    <row r="71" spans="1:10" ht="80.25" customHeight="1" hidden="1">
      <c r="A71" s="72" t="s">
        <v>116</v>
      </c>
      <c r="B71" s="72"/>
      <c r="C71" s="72"/>
      <c r="D71" s="73" t="s">
        <v>117</v>
      </c>
      <c r="E71" s="75"/>
      <c r="F71" s="81"/>
      <c r="G71" s="127">
        <f>H71+I71</f>
        <v>0</v>
      </c>
      <c r="H71" s="127">
        <f>SUM(H72:H75)</f>
        <v>0</v>
      </c>
      <c r="I71" s="127">
        <f>SUM(I72:I75)</f>
        <v>0</v>
      </c>
      <c r="J71" s="127">
        <f>SUM(J72:J75)</f>
        <v>0</v>
      </c>
    </row>
    <row r="72" spans="1:10" ht="47.25" customHeight="1" hidden="1">
      <c r="A72" s="77" t="s">
        <v>118</v>
      </c>
      <c r="B72" s="77" t="s">
        <v>34</v>
      </c>
      <c r="C72" s="77" t="s">
        <v>33</v>
      </c>
      <c r="D72" s="79" t="s">
        <v>35</v>
      </c>
      <c r="E72" s="186" t="s">
        <v>197</v>
      </c>
      <c r="F72" s="234" t="s">
        <v>295</v>
      </c>
      <c r="G72" s="70">
        <f>H72+I72</f>
        <v>0</v>
      </c>
      <c r="H72" s="70"/>
      <c r="I72" s="70"/>
      <c r="J72" s="70"/>
    </row>
    <row r="73" spans="1:10" ht="39" customHeight="1" hidden="1">
      <c r="A73" s="77" t="s">
        <v>119</v>
      </c>
      <c r="B73" s="77" t="s">
        <v>39</v>
      </c>
      <c r="C73" s="77" t="s">
        <v>33</v>
      </c>
      <c r="D73" s="79" t="s">
        <v>40</v>
      </c>
      <c r="E73" s="237"/>
      <c r="F73" s="235"/>
      <c r="G73" s="70">
        <f>H73+I73</f>
        <v>0</v>
      </c>
      <c r="H73" s="70"/>
      <c r="I73" s="70"/>
      <c r="J73" s="70"/>
    </row>
    <row r="74" spans="1:10" ht="49.5" customHeight="1" hidden="1">
      <c r="A74" s="77" t="s">
        <v>120</v>
      </c>
      <c r="B74" s="77" t="s">
        <v>121</v>
      </c>
      <c r="C74" s="77" t="s">
        <v>33</v>
      </c>
      <c r="D74" s="79" t="s">
        <v>122</v>
      </c>
      <c r="E74" s="237"/>
      <c r="F74" s="235"/>
      <c r="G74" s="70">
        <f>H74+I74</f>
        <v>0</v>
      </c>
      <c r="H74" s="70"/>
      <c r="I74" s="70"/>
      <c r="J74" s="70"/>
    </row>
    <row r="75" spans="1:10" s="2" customFormat="1" ht="56.25" customHeight="1" hidden="1">
      <c r="A75" s="77" t="s">
        <v>124</v>
      </c>
      <c r="B75" s="77" t="s">
        <v>54</v>
      </c>
      <c r="C75" s="77" t="s">
        <v>42</v>
      </c>
      <c r="D75" s="79" t="s">
        <v>67</v>
      </c>
      <c r="E75" s="238"/>
      <c r="F75" s="236"/>
      <c r="G75" s="70">
        <f>H75+I75</f>
        <v>0</v>
      </c>
      <c r="H75" s="70"/>
      <c r="I75" s="70"/>
      <c r="J75" s="70"/>
    </row>
    <row r="76" spans="1:10" ht="54" customHeight="1">
      <c r="A76" s="91" t="s">
        <v>142</v>
      </c>
      <c r="B76" s="91"/>
      <c r="C76" s="91"/>
      <c r="D76" s="92" t="s">
        <v>127</v>
      </c>
      <c r="E76" s="94"/>
      <c r="F76" s="81"/>
      <c r="G76" s="127">
        <f>G77</f>
        <v>9300</v>
      </c>
      <c r="H76" s="129">
        <f>H77</f>
        <v>9300</v>
      </c>
      <c r="I76" s="127"/>
      <c r="J76" s="129"/>
    </row>
    <row r="77" spans="1:10" ht="57" customHeight="1">
      <c r="A77" s="91" t="s">
        <v>126</v>
      </c>
      <c r="B77" s="91"/>
      <c r="C77" s="91"/>
      <c r="D77" s="92" t="s">
        <v>127</v>
      </c>
      <c r="E77" s="94"/>
      <c r="F77" s="81"/>
      <c r="G77" s="127">
        <f>H77+I77</f>
        <v>9300</v>
      </c>
      <c r="H77" s="129">
        <f>H78</f>
        <v>9300</v>
      </c>
      <c r="I77" s="127"/>
      <c r="J77" s="129"/>
    </row>
    <row r="78" spans="1:10" ht="134.25" customHeight="1">
      <c r="A78" s="77" t="s">
        <v>128</v>
      </c>
      <c r="B78" s="77" t="s">
        <v>75</v>
      </c>
      <c r="C78" s="77" t="s">
        <v>20</v>
      </c>
      <c r="D78" s="79" t="s">
        <v>204</v>
      </c>
      <c r="E78" s="75" t="s">
        <v>218</v>
      </c>
      <c r="F78" s="81" t="s">
        <v>263</v>
      </c>
      <c r="G78" s="70">
        <f>H78+I78</f>
        <v>9300</v>
      </c>
      <c r="H78" s="130">
        <f>9300</f>
        <v>9300</v>
      </c>
      <c r="I78" s="70"/>
      <c r="J78" s="130"/>
    </row>
    <row r="79" spans="1:10" ht="52.5" customHeight="1" hidden="1">
      <c r="A79" s="91" t="s">
        <v>143</v>
      </c>
      <c r="B79" s="91"/>
      <c r="C79" s="91"/>
      <c r="D79" s="92" t="s">
        <v>130</v>
      </c>
      <c r="E79" s="131"/>
      <c r="F79" s="82"/>
      <c r="G79" s="127">
        <f>G80</f>
        <v>0</v>
      </c>
      <c r="H79" s="127">
        <f>H80</f>
        <v>0</v>
      </c>
      <c r="I79" s="127"/>
      <c r="J79" s="127"/>
    </row>
    <row r="80" spans="1:10" ht="54.75" customHeight="1" hidden="1">
      <c r="A80" s="72" t="s">
        <v>129</v>
      </c>
      <c r="B80" s="72"/>
      <c r="C80" s="72"/>
      <c r="D80" s="93" t="s">
        <v>130</v>
      </c>
      <c r="E80" s="132"/>
      <c r="F80" s="82"/>
      <c r="G80" s="127">
        <f>H80+I80</f>
        <v>0</v>
      </c>
      <c r="H80" s="127">
        <f>H81</f>
        <v>0</v>
      </c>
      <c r="I80" s="127"/>
      <c r="J80" s="127"/>
    </row>
    <row r="81" spans="1:10" s="150" customFormat="1" ht="132" customHeight="1" hidden="1">
      <c r="A81" s="77" t="s">
        <v>236</v>
      </c>
      <c r="B81" s="77" t="s">
        <v>237</v>
      </c>
      <c r="C81" s="77" t="s">
        <v>72</v>
      </c>
      <c r="D81" s="79" t="s">
        <v>235</v>
      </c>
      <c r="E81" s="75" t="s">
        <v>218</v>
      </c>
      <c r="F81" s="81" t="s">
        <v>263</v>
      </c>
      <c r="G81" s="70">
        <f>H81+I81</f>
        <v>0</v>
      </c>
      <c r="H81" s="70"/>
      <c r="I81" s="154"/>
      <c r="J81" s="154"/>
    </row>
    <row r="82" spans="1:10" ht="27.75" customHeight="1">
      <c r="A82" s="133" t="s">
        <v>135</v>
      </c>
      <c r="B82" s="133" t="s">
        <v>135</v>
      </c>
      <c r="C82" s="133" t="s">
        <v>135</v>
      </c>
      <c r="D82" s="134" t="s">
        <v>131</v>
      </c>
      <c r="E82" s="133" t="s">
        <v>135</v>
      </c>
      <c r="F82" s="133" t="s">
        <v>135</v>
      </c>
      <c r="G82" s="127">
        <f>G26+G47+G53+G56+G63+G67+G70+G76+G79</f>
        <v>12235341</v>
      </c>
      <c r="H82" s="127">
        <f>H26+H47+H53+H56+H63+H67+H70+H76+H79</f>
        <v>3667155</v>
      </c>
      <c r="I82" s="127">
        <f>I26+I47+I53+I56+I63+I67+I70+I76+I79</f>
        <v>8568186</v>
      </c>
      <c r="J82" s="127">
        <f>J26+J47+J53+J56+J63+J67+J70+J76+J79</f>
        <v>8568186</v>
      </c>
    </row>
    <row r="87" spans="1:13" ht="23.25">
      <c r="A87" s="2"/>
      <c r="B87" s="2"/>
      <c r="C87" s="2"/>
      <c r="D87" s="2"/>
      <c r="E87" s="2"/>
      <c r="F87" s="2"/>
      <c r="G87" s="2"/>
      <c r="H87" s="2"/>
      <c r="I87" s="2"/>
      <c r="J87" s="2"/>
      <c r="K87" s="62"/>
      <c r="L87" s="2"/>
      <c r="M87"/>
    </row>
    <row r="88" spans="4:10" ht="18.75">
      <c r="D88" s="33"/>
      <c r="E88" s="33"/>
      <c r="F88" s="68"/>
      <c r="G88" s="33"/>
      <c r="H88" s="33"/>
      <c r="I88" s="33"/>
      <c r="J88" s="33"/>
    </row>
    <row r="90" spans="7:8" ht="30.75">
      <c r="G90" s="143"/>
      <c r="H90" s="143"/>
    </row>
    <row r="91" spans="7:8" ht="30.75">
      <c r="G91" s="144"/>
      <c r="H91" s="144"/>
    </row>
    <row r="92" spans="7:8" ht="30.75">
      <c r="G92" s="143"/>
      <c r="H92" s="143"/>
    </row>
    <row r="93" spans="7:8" ht="30.75">
      <c r="G93" s="143"/>
      <c r="H93" s="143"/>
    </row>
  </sheetData>
  <sheetProtection/>
  <mergeCells count="32">
    <mergeCell ref="A13:J13"/>
    <mergeCell ref="A18:A24"/>
    <mergeCell ref="B18:B24"/>
    <mergeCell ref="C18:C24"/>
    <mergeCell ref="D18:D24"/>
    <mergeCell ref="E18:E24"/>
    <mergeCell ref="F18:F24"/>
    <mergeCell ref="G18:G24"/>
    <mergeCell ref="E65:E66"/>
    <mergeCell ref="F65:F66"/>
    <mergeCell ref="H18:H24"/>
    <mergeCell ref="I18:J22"/>
    <mergeCell ref="I23:I24"/>
    <mergeCell ref="J23:J24"/>
    <mergeCell ref="A40:A42"/>
    <mergeCell ref="B40:B42"/>
    <mergeCell ref="C40:C42"/>
    <mergeCell ref="D40:D42"/>
    <mergeCell ref="C43:C45"/>
    <mergeCell ref="D43:D45"/>
    <mergeCell ref="A43:A45"/>
    <mergeCell ref="B43:B45"/>
    <mergeCell ref="F72:F75"/>
    <mergeCell ref="E72:E75"/>
    <mergeCell ref="A33:A34"/>
    <mergeCell ref="B33:B34"/>
    <mergeCell ref="C33:C34"/>
    <mergeCell ref="D33:D34"/>
    <mergeCell ref="E58:E59"/>
    <mergeCell ref="F58:F59"/>
    <mergeCell ref="E35:E37"/>
    <mergeCell ref="F35:F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2021-03-09T12:25:10Z</cp:lastPrinted>
  <dcterms:created xsi:type="dcterms:W3CDTF">2019-10-18T11:31:34Z</dcterms:created>
  <dcterms:modified xsi:type="dcterms:W3CDTF">2021-03-09T12:27:48Z</dcterms:modified>
  <cp:category/>
  <cp:version/>
  <cp:contentType/>
  <cp:contentStatus/>
</cp:coreProperties>
</file>