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92" windowHeight="5280" activeTab="0"/>
  </bookViews>
  <sheets>
    <sheet name="додаток1" sheetId="1" r:id="rId1"/>
    <sheet name="додаток2" sheetId="2" r:id="rId2"/>
    <sheet name="додаток3" sheetId="3" r:id="rId3"/>
    <sheet name="додаток 4" sheetId="4" r:id="rId4"/>
    <sheet name="додаток 5 " sheetId="5" r:id="rId5"/>
    <sheet name="додаток 6" sheetId="6" r:id="rId6"/>
  </sheets>
  <definedNames>
    <definedName name="_xlnm.Print_Titles" localSheetId="3">'додаток 4'!$A:$B</definedName>
    <definedName name="_xlnm.Print_Titles" localSheetId="4">'додаток 5 '!$11:$16</definedName>
    <definedName name="_xlnm.Print_Titles" localSheetId="5">'додаток 6'!$9:$17</definedName>
    <definedName name="_xlnm.Print_Titles" localSheetId="0">'додаток1'!$11:$15</definedName>
    <definedName name="_xlnm.Print_Titles" localSheetId="2">'додаток3'!$12:$16</definedName>
    <definedName name="_xlnm.Print_Area" localSheetId="0">'додаток1'!$A$1:$F$124</definedName>
  </definedNames>
  <calcPr fullCalcOnLoad="1"/>
</workbook>
</file>

<file path=xl/sharedStrings.xml><?xml version="1.0" encoding="utf-8"?>
<sst xmlns="http://schemas.openxmlformats.org/spreadsheetml/2006/main" count="1536" uniqueCount="711">
  <si>
    <t>21528000000</t>
  </si>
  <si>
    <t>Козацьке</t>
  </si>
  <si>
    <t>Галузі</t>
  </si>
  <si>
    <t>0100</t>
  </si>
  <si>
    <t>Додаток 1</t>
  </si>
  <si>
    <t>(грн)</t>
  </si>
  <si>
    <t>Код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</si>
  <si>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</si>
  <si>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</si>
  <si>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</si>
  <si>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</si>
  <si>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</si>
  <si>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</si>
  <si>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Загальне фінансування</t>
  </si>
  <si>
    <t>Фінансування за активними операціями</t>
  </si>
  <si>
    <t>Додаток 3</t>
  </si>
  <si>
    <t>Код Функціональної класифікації видатків та кредитування бюджету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</si>
  <si>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</si>
  <si>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</si>
  <si>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</si>
  <si>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</si>
  <si>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</si>
  <si>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</si>
  <si>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УСЬОГО</t>
  </si>
  <si>
    <t>Х</t>
  </si>
  <si>
    <t>(код бюджету)</t>
  </si>
  <si>
    <t>Найменування згідно з Класифікацією фінансування бюджету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</si>
  <si>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</si>
  <si>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</si>
  <si>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</si>
  <si>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0200000</t>
  </si>
  <si>
    <t>Виконавчий комітет Новокаховської міської ради</t>
  </si>
  <si>
    <t>0210000</t>
  </si>
  <si>
    <t>0210150</t>
  </si>
  <si>
    <t>0150</t>
  </si>
  <si>
    <t>0111</t>
  </si>
  <si>
    <t xml:space="preserve">Організаційне, інформаційно - аналітичне та матеріально - 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</si>
  <si>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в тому числі:</t>
  </si>
  <si>
    <t>утримання виконавчого комітету Новокаховської міської ради</t>
  </si>
  <si>
    <t>утримання архівного відділу Новокаховської міської ради</t>
  </si>
  <si>
    <t>0210180</t>
  </si>
  <si>
    <t>0180</t>
  </si>
  <si>
    <t>0133</t>
  </si>
  <si>
    <t>Інша діяльність у сфері державного управління</t>
  </si>
  <si>
    <t>в тому числі утримання комунальної установи "Трудовий архів м. Нова Каховка"</t>
  </si>
  <si>
    <t>0212010</t>
  </si>
  <si>
    <t>2010</t>
  </si>
  <si>
    <t>0731</t>
  </si>
  <si>
    <t>Багатопрофільна стаціонарна медична допомога населенню</t>
  </si>
  <si>
    <t>медична субвенція з державного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</si>
  <si>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</si>
  <si>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</si>
  <si>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кошти міського бюджету</t>
  </si>
  <si>
    <t>0212152</t>
  </si>
  <si>
    <t>2152</t>
  </si>
  <si>
    <t>0763</t>
  </si>
  <si>
    <t>Інші програми та заходи у сфері охорони здоров'я</t>
  </si>
  <si>
    <t>0212111</t>
  </si>
  <si>
    <t>2111</t>
  </si>
  <si>
    <t>0726</t>
  </si>
  <si>
    <t>Первинна медична допомога населенню, що надається центрами первинної медичної  (медико-санітарногї) допомоги</t>
  </si>
  <si>
    <t>ЦМЛ</t>
  </si>
  <si>
    <t>ЦМПСД</t>
  </si>
  <si>
    <t>0213112</t>
  </si>
  <si>
    <t>3112</t>
  </si>
  <si>
    <t>1040</t>
  </si>
  <si>
    <t>Заходи  державної політики з питань  дітей та їх  соціального захисту</t>
  </si>
  <si>
    <t>0213191</t>
  </si>
  <si>
    <t>3191</t>
  </si>
  <si>
    <t>1030</t>
  </si>
  <si>
    <t>Інші видатки на соціальний захист ветеранів війни та праці</t>
  </si>
  <si>
    <t>0213242</t>
  </si>
  <si>
    <t>3242</t>
  </si>
  <si>
    <t>1090</t>
  </si>
  <si>
    <t>Інші заходи у сфері соціального захисту і соціального забезпечення</t>
  </si>
  <si>
    <t>0216012</t>
  </si>
  <si>
    <t>6012</t>
  </si>
  <si>
    <t>0620</t>
  </si>
  <si>
    <t>Забезпечення діяльності з виробництва, транспортування, постачання теплової енергії</t>
  </si>
  <si>
    <t>0216014</t>
  </si>
  <si>
    <t>6014</t>
  </si>
  <si>
    <t>Забезпечення збору та вивезення сміття і відходів</t>
  </si>
  <si>
    <t>0216017</t>
  </si>
  <si>
    <t>6017</t>
  </si>
  <si>
    <t>Інша діяльність, пов'язана з експлуатацією об'єктів житлово - комунального господарства</t>
  </si>
  <si>
    <t>0216020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</si>
  <si>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</si>
  <si>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</si>
  <si>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0216030</t>
  </si>
  <si>
    <t>6030</t>
  </si>
  <si>
    <t>Організація благоустрою населених пунктів</t>
  </si>
  <si>
    <t>0640</t>
  </si>
  <si>
    <t>0216090</t>
  </si>
  <si>
    <t>6090</t>
  </si>
  <si>
    <t>Інша діяльність у сфері житлово-комунального господарства</t>
  </si>
  <si>
    <t>0217130</t>
  </si>
  <si>
    <t>7130</t>
  </si>
  <si>
    <t>0421</t>
  </si>
  <si>
    <t>Здійснення заходів із землеустрою</t>
  </si>
  <si>
    <t>0443</t>
  </si>
  <si>
    <t>0490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</si>
  <si>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</si>
  <si>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</si>
  <si>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</si>
  <si>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</si>
  <si>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0217680</t>
  </si>
  <si>
    <t>7680</t>
  </si>
  <si>
    <t>Членські внески до асоціацій органів місцевого самоврядування</t>
  </si>
  <si>
    <t>0217693</t>
  </si>
  <si>
    <t>7693</t>
  </si>
  <si>
    <t>Інші заходи, пов'язані з економічною діяльністю</t>
  </si>
  <si>
    <t>0218210</t>
  </si>
  <si>
    <t>8210</t>
  </si>
  <si>
    <t>0380</t>
  </si>
  <si>
    <t>Муніципальні формування з охорони громадського порядку</t>
  </si>
  <si>
    <t>0218340</t>
  </si>
  <si>
    <t>8340</t>
  </si>
  <si>
    <t>0540</t>
  </si>
  <si>
    <t>Природоохоронні заходи за рахунок цільових фондів</t>
  </si>
  <si>
    <t>0218410</t>
  </si>
  <si>
    <t>8410</t>
  </si>
  <si>
    <t>0830</t>
  </si>
  <si>
    <t>Фінансова підтримка засобів масової інформації</t>
  </si>
  <si>
    <t>0218420</t>
  </si>
  <si>
    <t>8420</t>
  </si>
  <si>
    <t>Інші заходи у сфері засобів масової інформації</t>
  </si>
  <si>
    <t>0600000</t>
  </si>
  <si>
    <t>Відділ освіти  Новокаховської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</si>
  <si>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</si>
  <si>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</si>
  <si>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</si>
  <si>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об'єднаних територіальних громадах</t>
  </si>
  <si>
    <t>0611010</t>
  </si>
  <si>
    <t>1010</t>
  </si>
  <si>
    <t>0910</t>
  </si>
  <si>
    <t>Надання дошкільної освіти</t>
  </si>
  <si>
    <t>0611020</t>
  </si>
  <si>
    <t>1020</t>
  </si>
  <si>
    <t>0921</t>
  </si>
  <si>
    <t>освітня субвенція з державного бюджету</t>
  </si>
  <si>
    <t>субвенція за рахунок залишку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</si>
  <si>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</si>
  <si>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</si>
  <si>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</si>
  <si>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інша субвенція з обласного бюджету на фінансування проектів-переможців обласного конкурсу проектів розвитку територіальних громад сіл, селищ, міст Херсонської області</t>
  </si>
  <si>
    <t>0611090</t>
  </si>
  <si>
    <t>0960</t>
  </si>
  <si>
    <t>0611150</t>
  </si>
  <si>
    <t>1150</t>
  </si>
  <si>
    <t>0990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</si>
  <si>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</si>
  <si>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</si>
  <si>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</si>
  <si>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</si>
  <si>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</si>
  <si>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</si>
  <si>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</si>
  <si>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</si>
  <si>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</si>
  <si>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</si>
  <si>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</si>
  <si>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</si>
  <si>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</si>
  <si>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0800000</t>
  </si>
  <si>
    <t>Управління праці та соціального захисту населення Новокаховської міської ради</t>
  </si>
  <si>
    <t>0810000</t>
  </si>
  <si>
    <t>0810160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</si>
  <si>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</si>
  <si>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</si>
  <si>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</si>
  <si>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</si>
  <si>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</si>
  <si>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</si>
  <si>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0813121</t>
  </si>
  <si>
    <t>3121</t>
  </si>
  <si>
    <t>Утримання та забезпечення діяльності центрів соціальних служб для сім'ї, дітей та молоді</t>
  </si>
  <si>
    <t>0813123</t>
  </si>
  <si>
    <t>3123</t>
  </si>
  <si>
    <t>Заходи державної політики з питань сім'ї</t>
  </si>
  <si>
    <t>1000000</t>
  </si>
  <si>
    <t>Відділ культури і туризму Новокаховської міської ради</t>
  </si>
  <si>
    <t>1010000</t>
  </si>
  <si>
    <t>1010160</t>
  </si>
  <si>
    <t>1011100</t>
  </si>
  <si>
    <t>1100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</si>
  <si>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</si>
  <si>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</si>
  <si>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</si>
  <si>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</si>
  <si>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</si>
  <si>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</si>
  <si>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і виставок</t>
  </si>
  <si>
    <t>1014060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</si>
  <si>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</si>
  <si>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</si>
  <si>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</si>
  <si>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</si>
  <si>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</si>
  <si>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</si>
  <si>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</si>
  <si>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</si>
  <si>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</si>
  <si>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</si>
  <si>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1017622</t>
  </si>
  <si>
    <t>7622</t>
  </si>
  <si>
    <t>0470</t>
  </si>
  <si>
    <t xml:space="preserve">Реалізація програм і заходів в галузі туризму та курортів </t>
  </si>
  <si>
    <t>1100000</t>
  </si>
  <si>
    <t>Відділ у справах сім'ї, молоді, фізичної культури та спорту Новокаховської міської ради</t>
  </si>
  <si>
    <t>1110000</t>
  </si>
  <si>
    <t>1110160</t>
  </si>
  <si>
    <t>1113133</t>
  </si>
  <si>
    <t>3133</t>
  </si>
  <si>
    <t>Інші заходи та заклади молодіжної політики</t>
  </si>
  <si>
    <t>1113140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</si>
  <si>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</si>
  <si>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постаждали внаслідок Чорнобильської катастрофи)</t>
  </si>
  <si>
    <t>1115011</t>
  </si>
  <si>
    <t>5011</t>
  </si>
  <si>
    <t>Проведення навчально-тренувальних зборів і змагань з олімпійських видів спорту</t>
  </si>
  <si>
    <t>1115031</t>
  </si>
  <si>
    <t>1115041</t>
  </si>
  <si>
    <t>5041</t>
  </si>
  <si>
    <t>Утримання та фінансова підтримка спортивних споруд</t>
  </si>
  <si>
    <t>1115062</t>
  </si>
  <si>
    <t>5062</t>
  </si>
  <si>
    <t>Підтримка спорту вищих досягнень та організацй, які здійснюють  фізкультурно-спортивну діяльність в регіоні</t>
  </si>
  <si>
    <t>1115063</t>
  </si>
  <si>
    <t>5063</t>
  </si>
  <si>
    <t>Забезпечення діяльності централізованої бухгалтерії</t>
  </si>
  <si>
    <t>1117693</t>
  </si>
  <si>
    <t>1600000</t>
  </si>
  <si>
    <t>Управління містобудування та архітектури  Новокаховської міської ради</t>
  </si>
  <si>
    <t>1610000</t>
  </si>
  <si>
    <t>1610160</t>
  </si>
  <si>
    <t>1617693</t>
  </si>
  <si>
    <t>1700000</t>
  </si>
  <si>
    <t>Відділ державного архітектурно-будівельного контролю Новокаховської міської ради</t>
  </si>
  <si>
    <t>1710000</t>
  </si>
  <si>
    <t>1710160</t>
  </si>
  <si>
    <t>Керівництво і управління у відповідній сфері у містах (місті Києві), селищах, селах, об"єднаних територіальних громадах</t>
  </si>
  <si>
    <t>3000000</t>
  </si>
  <si>
    <t>Управління з питань надзвичайних ситуацій та цивільного захисту населення Новокаховської міської ради</t>
  </si>
  <si>
    <t>3010000</t>
  </si>
  <si>
    <t>3010160</t>
  </si>
  <si>
    <t>3017693</t>
  </si>
  <si>
    <t>Інщі заходи, пов"язані з економічною діяльністю</t>
  </si>
  <si>
    <t>3018230</t>
  </si>
  <si>
    <t>8230</t>
  </si>
  <si>
    <t>Інші заходи громадського порядку та безпеки</t>
  </si>
  <si>
    <t>3100000</t>
  </si>
  <si>
    <t>Управління комунального майна, інфраструктури старостинських округів Новокаховської міської ради</t>
  </si>
  <si>
    <t>3110000</t>
  </si>
  <si>
    <t>3110160</t>
  </si>
  <si>
    <t>3116017</t>
  </si>
  <si>
    <t>3116030</t>
  </si>
  <si>
    <t>3117130</t>
  </si>
  <si>
    <t>3117330</t>
  </si>
  <si>
    <t>7330</t>
  </si>
  <si>
    <t>Будівництво інших об'єктів  комунальної власності</t>
  </si>
  <si>
    <t>3117350</t>
  </si>
  <si>
    <t>7350</t>
  </si>
  <si>
    <t>Розроблення схем планування та забудови територій (містобудівної документації)</t>
  </si>
  <si>
    <t>3117461</t>
  </si>
  <si>
    <t>3117693</t>
  </si>
  <si>
    <t>3300000</t>
  </si>
  <si>
    <t>Відділ реєстрації Новокаховської міської ради</t>
  </si>
  <si>
    <t>3310000</t>
  </si>
  <si>
    <t>3310160</t>
  </si>
  <si>
    <t>3700000</t>
  </si>
  <si>
    <t>Фінансове управління Новокаховської міської ради</t>
  </si>
  <si>
    <t>3710000</t>
  </si>
  <si>
    <t>3710160</t>
  </si>
  <si>
    <t>3718700</t>
  </si>
  <si>
    <t>8700</t>
  </si>
  <si>
    <t>Резервний фонд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</si>
  <si>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</si>
  <si>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</si>
  <si>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</si>
  <si>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</si>
  <si>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</si>
  <si>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1070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</si>
  <si>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</si>
  <si>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</si>
  <si>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</si>
  <si>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</si>
  <si>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</si>
  <si>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</si>
  <si>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</si>
  <si>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</si>
  <si>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</si>
  <si>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 інвалідністю, дітям з інвалідністю, хворим, які не здатні до самообслуговування і потребують сторонньої допомоги</t>
  </si>
  <si>
    <t>0813180</t>
  </si>
  <si>
    <t>3180</t>
  </si>
  <si>
    <t>1060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</si>
  <si>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</si>
  <si>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0813191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</si>
  <si>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</si>
  <si>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</si>
  <si>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</si>
  <si>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0813242</t>
  </si>
  <si>
    <t>0817693</t>
  </si>
  <si>
    <t>3117310</t>
  </si>
  <si>
    <t>7310</t>
  </si>
  <si>
    <t>Будівництво об"єктів житлово-комунального господарства</t>
  </si>
  <si>
    <t>3116040</t>
  </si>
  <si>
    <t>6040</t>
  </si>
  <si>
    <t>3116014</t>
  </si>
  <si>
    <t>Заходи, пов'язані з поліпшенням питної води</t>
  </si>
  <si>
    <t>0216015</t>
  </si>
  <si>
    <t>6015</t>
  </si>
  <si>
    <t>Забезпечення надійної та безперебійної експлуатації ліфтів</t>
  </si>
  <si>
    <t>0617361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</si>
  <si>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</si>
  <si>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</si>
  <si>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0217361</t>
  </si>
  <si>
    <t>0217670</t>
  </si>
  <si>
    <t>7670</t>
  </si>
  <si>
    <t>Внески до статутного капіталу суб’єктів господарювання</t>
  </si>
  <si>
    <t>Внутрішнє фінансування 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</si>
  <si>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</si>
  <si>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</si>
  <si>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типом боргового зобов'язання</t>
  </si>
  <si>
    <t>Зміни обсягів бюджетних коштів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</si>
  <si>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</si>
  <si>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</si>
  <si>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0212144</t>
  </si>
  <si>
    <t>2144</t>
  </si>
  <si>
    <t>Централізовані заходи з лікування хворих на цукровий та нецукровий діабет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</si>
  <si>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</si>
  <si>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</si>
  <si>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</si>
  <si>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</si>
  <si>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</si>
  <si>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</si>
  <si>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Інші субвенції з місцевого бюджету</t>
  </si>
  <si>
    <t>Секретар міської ради</t>
  </si>
  <si>
    <t>на фінансування проектів-переможців обласного конкурсу проектів розвитку територіальних громад сіл, селищ, міст Херсонської області</t>
  </si>
  <si>
    <t>0217330</t>
  </si>
  <si>
    <t>Будівництво інших об"єктів комунальної власності</t>
  </si>
  <si>
    <t>1117361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</si>
  <si>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</si>
  <si>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позашкільної освіти закладами позашкільної освіти, заходи із позашкільної роботи з дітьми</t>
  </si>
  <si>
    <t>Методичне забезпечення діяльності закладів освіти</t>
  </si>
  <si>
    <t>Надання спеціальної освіти мистецькими школами</t>
  </si>
  <si>
    <t>0617321</t>
  </si>
  <si>
    <t>7321</t>
  </si>
  <si>
    <t>Будівництво освітніх установ та закладів</t>
  </si>
  <si>
    <t>1117325</t>
  </si>
  <si>
    <t>7325</t>
  </si>
  <si>
    <t>Будівництво споруд, установ та закладів фізичної культури і спорту</t>
  </si>
  <si>
    <t>Фінансування бюджету Новокаховської міської об"єднаної територіальної громади на 2020 рік</t>
  </si>
  <si>
    <t>Розподіл видатків бюджету Новокаховської міської об"єднаної територіальної громади на 2020  рік</t>
  </si>
  <si>
    <t>0217310</t>
  </si>
  <si>
    <t>3719770</t>
  </si>
  <si>
    <t>9770</t>
  </si>
  <si>
    <t>у тому числі:</t>
  </si>
  <si>
    <t>Таврійській міській раді на утримання та технічне обслуговування котелень, які знаходяться на балансі Таврійської міської ради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</si>
  <si>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</si>
  <si>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</si>
  <si>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</si>
  <si>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Управління Служби безпеки України в Херсонській області (для Новокаховського МРВ УСБУ в Херсонській області)</t>
  </si>
  <si>
    <t>Головне управління Національної поліції в Херсонській області (для Новокаховського ВП ГУНП)</t>
  </si>
  <si>
    <t>Головне управління Державної податкової служби у Херсонській області, Автономній Республіці Крим та м. Севастополі (для Новокаховського управління Головного управління ДПС у Херсонській області, Автономній Республіці Крим та м. Севастополі)</t>
  </si>
  <si>
    <t>Головне управління ДСНС України у Херсонській області (для 17 Державної пожежно-рятувальної частини)</t>
  </si>
  <si>
    <t>Головне управління Держпродспоживслужби в Херсонській області споживачів (для Новокаховської міської Державної лікарні ветеринарної медицини)</t>
  </si>
  <si>
    <t xml:space="preserve">Управління Державної казначейської служби України у м. Новій Каховці Херсонської області  </t>
  </si>
  <si>
    <t>0613210</t>
  </si>
  <si>
    <t>3210</t>
  </si>
  <si>
    <t>1050</t>
  </si>
  <si>
    <t>Організація та проведення громадських робіт</t>
  </si>
  <si>
    <t>1017324</t>
  </si>
  <si>
    <t>7324</t>
  </si>
  <si>
    <t>Будівництво установ та закладів культури</t>
  </si>
  <si>
    <t>1017340</t>
  </si>
  <si>
    <t>7340</t>
  </si>
  <si>
    <t>Проектування, реставрація та охорона пам"яток архітектури</t>
  </si>
  <si>
    <t>Стомат воєєним</t>
  </si>
  <si>
    <t>ЦМЛ оренда приміщень лікарям</t>
  </si>
  <si>
    <t>0213210</t>
  </si>
  <si>
    <t>0217412</t>
  </si>
  <si>
    <t>7412</t>
  </si>
  <si>
    <t>0451</t>
  </si>
  <si>
    <t>Регулювання цін на послуги місцевого автотранспорту</t>
  </si>
  <si>
    <t>0217322</t>
  </si>
  <si>
    <t>7322</t>
  </si>
  <si>
    <t>Будівництво медичних установ та закладів</t>
  </si>
  <si>
    <t>0216071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</si>
  <si>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</si>
  <si>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</si>
  <si>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0817330</t>
  </si>
  <si>
    <t>0813210</t>
  </si>
  <si>
    <t>1113210</t>
  </si>
  <si>
    <t>1617361</t>
  </si>
  <si>
    <t>1617325</t>
  </si>
  <si>
    <t>3113210</t>
  </si>
  <si>
    <t>Онко</t>
  </si>
  <si>
    <t>На початок періоду</t>
  </si>
  <si>
    <t>Міністерство оборони України (для військової частини А1736)</t>
  </si>
  <si>
    <t>Херсонський обласний військовий комісаріат оперативного командування "Південь" Сухопутних військ Збройних Сил України (для Новокаховського міського військового комісаріату)</t>
  </si>
  <si>
    <t>Додаток 2</t>
  </si>
  <si>
    <t>×</t>
  </si>
  <si>
    <t>Розподіл витрат бюджету Новокаховської міської об"єднаної територіальної громади на реалізацію міських програм у 2020 році</t>
  </si>
  <si>
    <t xml:space="preserve">Найменування головного розпорядника коштів місцевого бюджету/ відповідального виконавця,  найменування бюджетної програми згідно з Типовою програмною класифікацією видатків та кредитування місцевого бюджету </t>
  </si>
  <si>
    <t>Найменування місцевої /регіональної програми</t>
  </si>
  <si>
    <t>Дата та номер документа, яким затверджено місцеву регіональну програму</t>
  </si>
  <si>
    <t xml:space="preserve">Програма економічного, соціального та культурного розвитку міста Нова Каховка на 2020 рік  </t>
  </si>
  <si>
    <t>Рішення Новокаховської міської ради від 24.12.2019 р. № 2567 (зі змінами)</t>
  </si>
  <si>
    <t xml:space="preserve">Інша діяльність у сфері державного управління </t>
  </si>
  <si>
    <t>Програма фінансування  Комунальної установи "Трудовий архів м. Нова Каховка" на 2020-2022 роки</t>
  </si>
  <si>
    <t>Рішення Новокаховської міської ради           від 12.12.2019 р.       № 2487</t>
  </si>
  <si>
    <t>Програма розвитку охорони здоров'я міста Нова Каховка та Першочергових заходів на 2016-2020 роки</t>
  </si>
  <si>
    <t>Рішення Новокаховської міської ради від 25.02.2016 р.         № 172 (зі змінами)</t>
  </si>
  <si>
    <t>Міська цільова програма розвитку та підтримки комунального некомерційного підприємства "Центральна міська лікарня міста Нова Каховка" Новокаховської міської ради на 2020-2022 роки</t>
  </si>
  <si>
    <t>Міська цільова Програма розвитку та підтримки Комунального некомерційного підприємства «Центр первинної медико-санітарної допомоги міста Нова Каховка» на 2020-2022 роки</t>
  </si>
  <si>
    <t>Програма реалізації соціальної політики на 2020-2022 роки</t>
  </si>
  <si>
    <t>Рішення Новокаховської міської ради від 21.11.2019 р.        № 2347 (зі змінами)</t>
  </si>
  <si>
    <t>Програма забезпечення виконання військового 
обов’язку громадянами Новокаховської
об’єднаної територіальної громади на 2020-2021 роки</t>
  </si>
  <si>
    <t>Рішення Новокаховської міської ради від 13.02.2020  р.        № 2593</t>
  </si>
  <si>
    <t>Рішення Новокаховської міської ради від 06.06.2018 р.        № 1349 (зі змінами)</t>
  </si>
  <si>
    <t>Міська цільова  програма надання населенню Новокаховської міської об"єднаної територіальної громади послуг з медичного обслуговування на 2020-2022 роки</t>
  </si>
  <si>
    <t>Програма боротьби з онкологічними захворюваннями на 2019-2023 роки</t>
  </si>
  <si>
    <t>Рішення Новокаховської міської ради від 11.04.2019 р.            № 1919 (зі змінами)</t>
  </si>
  <si>
    <t>Програма соціального захисту  дітей-сиріт та  дітей,  позбавлених батьківського піклування, попередження дитячої  бездоглядності на 2020- 2022 роки</t>
  </si>
  <si>
    <t>Рішення Новокаховської міської ради           від 12.12.2019 р.       № 2444</t>
  </si>
  <si>
    <t>Програми щодо організації та проведення оплачуваних громадських робіт для безробітних громадян у Новокаховській ОТГ на 2020 рік</t>
  </si>
  <si>
    <t xml:space="preserve">Інші заходи у сфері соціального захисту і соціального забезпечення </t>
  </si>
  <si>
    <t>Програма фінансової підтримки підприємств комунальної власності міста Нова Каховка на 2020-2022 роки</t>
  </si>
  <si>
    <t>Рішення Новокаховської міської ради  від 12.12.2019 р.        № 2418 (зі змінами)</t>
  </si>
  <si>
    <t xml:space="preserve">Інша діяльність, пов’язана з експлуатацією об’єктів житлово-комунального господарства </t>
  </si>
  <si>
    <t>Програма благоустрою міста Нова Каховка на 2019-2021 роки</t>
  </si>
  <si>
    <t>Рішення Новокаховської міської ріди від 20.12.2018 р.        № 1626 (зі змінами)</t>
  </si>
  <si>
    <t>Здійснення  заходів із землеустрою</t>
  </si>
  <si>
    <t>Програма розвитку земельних відносин на території міста Нова Каховка на 2020-2022 роки</t>
  </si>
  <si>
    <t>Рішення Новокаховської міської ради від 21.11.2019 р.        № 2375</t>
  </si>
  <si>
    <t>Програма будівництва, реконструкції, капітальних ремонтів об'єктів соціальної сфери та інших об'єктів комунальної власності міста Нова Каховка на 2019-2021 роки</t>
  </si>
  <si>
    <t>Рішення Новокаховської міської ради від 20.12.2018 р.     № 1625 (зі змінами)</t>
  </si>
  <si>
    <t>Програма технічної експертизи, модернізації та ремонту ліфтів у багатоквартирних житлових будинках на період 2018-2020 роки</t>
  </si>
  <si>
    <t>Рішення Новокаховської міської ради від 21.12.2017 р.         № 1081 (зі змінами)</t>
  </si>
  <si>
    <t>Програма відшкодування різниці в тарифах на послуги місцевого автотранспорту на 2018-2020 роки</t>
  </si>
  <si>
    <t>Програма економічного, соціального та культурного розвитку міста Нова Каховка на 2020 рік</t>
  </si>
  <si>
    <t>Рішення Новокаховської міської ради від 24.12.2019 р. №2567 (зі змінами)</t>
  </si>
  <si>
    <t>Програми розвитку малого та середнього підприємництва в місті Нова Каховка на 2019-2021 роки</t>
  </si>
  <si>
    <t>Рішення Новокаховської міської ради від 20.12.2018 р. № 1643</t>
  </si>
  <si>
    <t>Програма забезпечення транспортного обслуговування загальноміських заходів на 2020 рік</t>
  </si>
  <si>
    <t>Комплексна Програма протидії злочинності і забезпечення публічної безпеки і порядку, та охорони прав і свобод громадян в місті Нова  Каховка на 2016 – 2021 роки</t>
  </si>
  <si>
    <t>Рішення Новокаховської міської ради  від 25.02.2016 р.        № 162 (зі змінами)</t>
  </si>
  <si>
    <t>Програма підтримки комунального підприємства  "Агенція регіонального розвитку"  Новокаховської  міської ради на 2019-2021 роки</t>
  </si>
  <si>
    <t>Програма "Нова Каховка - Безпечне  місто 2020-2022"</t>
  </si>
  <si>
    <t>Програма поліпшення екологічного стану та зменшення техногенного навантаження на території Новокаховської міської ради "Екологія - 2020"</t>
  </si>
  <si>
    <t>Рішення Новокаховської міської ріди від 10.12.2015 р.       № 34 (зі змінами)</t>
  </si>
  <si>
    <t>Програма висвітлення діяльності Новокаховської  міської ради та її   виконавчого комітету  комунальним підприємством "Новокаховська міська  радіоорганізація"  на  2020-2022 роки</t>
  </si>
  <si>
    <t>Рішення Новокаховської міської ради  від 12.12.2019 р.        № 2481</t>
  </si>
  <si>
    <t>Відділ освіти Новокаховської міської ради</t>
  </si>
  <si>
    <t xml:space="preserve">Пограма розвитку освітньої галузі на 2020-2022 роки </t>
  </si>
  <si>
    <t>Рішення Новокаховської міської ради  від 12.12.2019 р.        № 2435 (зі змінами)</t>
  </si>
  <si>
    <t>Міська цільова програма забезпечення пожежної безпеки й укріплення протипожежної матеріально - технічної бази в закладах і установах освіти Новокаховської міської ради на 2020-2022 роки</t>
  </si>
  <si>
    <t>Рішення Новокаховської міської ради  від 12.12.2019 р.        № 2434</t>
  </si>
  <si>
    <t>Програма оздоровлення та відпочинку дітей протягом 2020-2022 років на території Новокаховської міської територіальної громади</t>
  </si>
  <si>
    <t>Рішення Новокаховської міської ради  від 12.12.2019 р.        № 2465</t>
  </si>
  <si>
    <t>Програма фінансування комунальної установи "Інклюзивно - ресурсний центр" Новокаховської міської ради на 2020-2022 роки</t>
  </si>
  <si>
    <t>Рішення Новокаховської міської ради  від 12.12.2019 р.        № 2443</t>
  </si>
  <si>
    <t>Рішення Новокаховської міської ради  від 13.02.2020 р.        № 2593</t>
  </si>
  <si>
    <t>Програма соціальної підтримки сім"ї на 2020 -2022 роки</t>
  </si>
  <si>
    <t xml:space="preserve">Заходи  державної  політики  з питань  сім'ї </t>
  </si>
  <si>
    <t>Надання соціальних гарантій фізичним особам, які  надають соціальні послуги громадянам похилого віку, особам з 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</si>
  <si>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</si>
  <si>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Надання фінансової підтримки громадським організаціям ветеранів і осіб з інвалідністю,  діяльність яких має соціальну спрямованість</t>
  </si>
  <si>
    <t>Інші заходи у сфері соціального захисту  і соціального забезпечення</t>
  </si>
  <si>
    <t xml:space="preserve">Програма для забезпечення виконання рішень суду управлінням праці та соціального захисту населення Новокаховської міської ради на 2018-2020 роки </t>
  </si>
  <si>
    <t>Рішення Новокаховської міської ради від 08.02.2018 р.             № 1179 (зі змінами)</t>
  </si>
  <si>
    <t>Відділ  культури і туризму Новокаховської міської ради</t>
  </si>
  <si>
    <t>Цільова  програма розвитку культури і туризму Новокаховської міської територіальної громади на  2020-2022 роки</t>
  </si>
  <si>
    <t>Рішення Новокаховської міської ради  від 12.12.2019 р.        № 2446 (зі змінами)</t>
  </si>
  <si>
    <t>Реалізація програм і заходів в галузі туризму та курортів</t>
  </si>
  <si>
    <t>Програма молодіжної політики на 2020-2022 роки на території Новокаховської міської територіальної громади</t>
  </si>
  <si>
    <t>Рішення Новокаховської міської ради  від 12.12.2019 р.        № 2466</t>
  </si>
  <si>
    <t>Оздоровлення та відпочинок дітей 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</si>
  <si>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зборiв i змагань  з олімпійських  видів спорту</t>
  </si>
  <si>
    <t>Програма розвитку фізичної культури та спорту на території Новокаховської міської територіальної громади на 2020-2022 роки</t>
  </si>
  <si>
    <t>Рішення Новокаховської міської ради  від 12.12.2019 р.        № 2464 (зі змінами)</t>
  </si>
  <si>
    <t>Підтримка  спорту вищих досягнень  та організацій, які  здійснюють  фізкультурно-спортивну діяльність в регіоні</t>
  </si>
  <si>
    <t>Програма розвитку футболу на території Новокаховської  міської територіальної громади на 2020-2022 роки</t>
  </si>
  <si>
    <t>Рішення Новокаховської міської ради  від 12.12.2019 р.        № 2463</t>
  </si>
  <si>
    <t>Управління містобудування та архітектури Новокаховської міської ради</t>
  </si>
  <si>
    <t>Програма фінансової підтримки комунального підприємства "АкваСпорт" Новокаховської міської ради на 2020-2022 роки</t>
  </si>
  <si>
    <t>Рішення Новокаховської міської ради  від 12.12.2019 р.        № 2477</t>
  </si>
  <si>
    <t>Інші заходи, пов"язані з економічною діяльністю</t>
  </si>
  <si>
    <t>Програма територіальної оборони території Новокаховської міської ради на 2020-2022 роки</t>
  </si>
  <si>
    <t>Рішення Новокаховської міської ради  від 12.12.2019 р.        № 2472</t>
  </si>
  <si>
    <t>Програма розвитку інфраструктури старостинських округів Новокаховської міської територіальної громади на 2020-2022 роки</t>
  </si>
  <si>
    <t>Рішення Новокаховської міської ради від 12.12.2019 р.            № 2494 (зі змінами)</t>
  </si>
  <si>
    <t>Надання коштів для забезпечення гарантійних зобов'язань за позичальників, що отримали кредити під місцеві гарантії</t>
  </si>
  <si>
    <t>3018110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</si>
  <si>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</si>
  <si>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</si>
  <si>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</si>
  <si>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Додаток 4</t>
  </si>
  <si>
    <t>Розподіл коштів бюджету розвитку на здійснення заходів із будівництва, реконструкції і реставрації об'єктів виробничої, комунікаційної та соціальної інфраструктури за об’єктами у 2020 році</t>
  </si>
  <si>
    <t xml:space="preserve"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 </t>
  </si>
  <si>
    <t>Найменування об’єкта будівництва 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</si>
  <si>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</si>
  <si>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</si>
  <si>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</si>
  <si>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</si>
  <si>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об’єкта на кінець бюджетного періоду, %</t>
  </si>
  <si>
    <t>Реконструкція відділення екстреної медичної допомоги у м. Нова Каховка Херсонської області (проектні роботи)</t>
  </si>
  <si>
    <t>Будівництво інших об'єктів комунальної власності</t>
  </si>
  <si>
    <t>Будівництво (нестандартне приєднання) амбулаторії загальної практики сімейної медицини за адресою: Херсонська область, смт. Козацьке, вул. Степова</t>
  </si>
  <si>
    <t>Будівництво пандусу кінотеатру "Юність"</t>
  </si>
  <si>
    <t>Реконструкція нежитлового приміщення під житлові кімнати по пров. Тихий, 28 в м. Нова Каховка (проектні роботи)</t>
  </si>
  <si>
    <t>Реконструкція скверу Сільських будівельників (проектні роботи)</t>
  </si>
  <si>
    <t>Реконструкція покриття тротуарів по пр. Дніпровський та парковій зоні</t>
  </si>
  <si>
    <t>2019-2020</t>
  </si>
  <si>
    <t>Нове будівництво самопливного каналізаційного колектору діаметром 600 мм від перехрестя вул. Дружби – вул. Маяковського по вул. М.Букіна  м. Нова Каховка Херсонської області</t>
  </si>
  <si>
    <t>Будівництво боксів для автобусів з прибудовою адміністративно-побутового комплексу» по вул. Французькій в районі будівлі №8а в м. Нова Каховка Херсонської області</t>
  </si>
  <si>
    <t>2016-2021</t>
  </si>
  <si>
    <t>Будівництво Центру надання адміністративних послуг м. Нова Каховка</t>
  </si>
  <si>
    <t>2017-2020</t>
  </si>
  <si>
    <t>Будівництво пандусу ЗЗСО №7</t>
  </si>
  <si>
    <t xml:space="preserve">Реконструкція існуючої будівлі під дитячий садок по вул. Монастирська, 50 в с. Корсунка   м. Нова Каховка, Херсонської області  </t>
  </si>
  <si>
    <t>Улаштування пандусу для житлового будинку по вул. Соборна, 20</t>
  </si>
  <si>
    <t xml:space="preserve">Улаштування пандусу для житлового будинку по вул. Горького, 9 </t>
  </si>
  <si>
    <t>Реконструкція покрівлі будинку культури в с. Веселе</t>
  </si>
  <si>
    <t>Реставраційні роботи Палацу культури (проектні роботи)</t>
  </si>
  <si>
    <t>Будівництво Центру Олімпійських видів спорту "Н2О Нова Каховка" (проектні роботи)</t>
  </si>
  <si>
    <t>2018-2020</t>
  </si>
  <si>
    <t xml:space="preserve">Будівництво Центру Олімпійських видів спорту "Н2О Нова Каховка" </t>
  </si>
  <si>
    <t>2020-2022</t>
  </si>
  <si>
    <t>Будівництво майданчика для роздільного збору ТПВ в с.Піщане Дніпрянського старостинського округу</t>
  </si>
  <si>
    <t>Будівництво майданчика для роздільного збору ТПВ в с. Нові Лагері Дніпрянського старостинського округу</t>
  </si>
  <si>
    <t>Будівництво майданчика для роздільного збору ТПВ в с.Корсунка Дніпрянського старостинського округу</t>
  </si>
  <si>
    <t>Будівництво майданчика для роздільного збору ТПВ в смт. Дніпряни Дніпрянського старостинського округу</t>
  </si>
  <si>
    <t>Будівництво водонапірної башти с.Райське по вул. Основська,18</t>
  </si>
  <si>
    <t>Будівництво водонапірної башти с.Райське по вул. Райська,17</t>
  </si>
  <si>
    <t>Реконструкція каналізаційної системи у смт. Козацьке Херсонської області</t>
  </si>
  <si>
    <t>Будівництво споруд з протиерозійного захисту по балці р.Дніпро в межах смт. Козацьке в районі перетину провулку Дніпровського та вул.Шевченко та облаштування джерела по пров. Дніпровському</t>
  </si>
  <si>
    <t>Реконструкція вуличного освітлення по вул. Шевченка в смт. Дніпряни Херсонської області</t>
  </si>
  <si>
    <t>Реконструкція вуличного освітлення по вул. Новомаячківська в смт. Дніпряни Херсонської області</t>
  </si>
  <si>
    <t>Реконструкція вуличного освітлення по вул. Південна в с. Піщане Херсонської області</t>
  </si>
  <si>
    <t>Реконструкція вуличного освітлення по вул. Солодухіна в с. Корсунка Херсонської області</t>
  </si>
  <si>
    <t>Реконструкція вуличного освітлення по вул. Набережна в с. Корсунка Херсонської області</t>
  </si>
  <si>
    <t>Реконструкція вуличного освітлення по вул. Гоголя в с. Корсунка Херсонської області</t>
  </si>
  <si>
    <t>Реконструкція вуличного освітлення в с.Веселе по вулиці Надніпрянська КТП 296 Херсонської області</t>
  </si>
  <si>
    <t>Реконструкція вуличного освітлення по вулиці Комарова КТП 330 смт. Козацьке Херсонської області</t>
  </si>
  <si>
    <t>Рішення Новокаховської міської ради           від 12.12.2019 р.       № 2433 (зі змінами)</t>
  </si>
  <si>
    <t>Рішення Новокаховської міської ради           від 12.12.2019 р.       № 2428 (зі змінами)</t>
  </si>
  <si>
    <t>Рішення Новокаховської міської ради           від 12.12.2019 р.       № 2429 (зі змінами)</t>
  </si>
  <si>
    <t>Рішення Новокаховської міської ради  від 13.02.2020 р.        №2593</t>
  </si>
  <si>
    <t>Рішення Новокаховської міської ради від 20.12.2018 р.      № 1625 (зі змінами)</t>
  </si>
  <si>
    <t>Рішення Новокаховської міської ради від 20.12.2018 р.        № 1625 (зі змінами)</t>
  </si>
  <si>
    <t>Рішення Новокаховської міської ради від 20.12.2018 р.          № 1624</t>
  </si>
  <si>
    <t>Рішення Новокаховської міської ради  від 12.12.2019 р.        № 2421 (зі змінами)</t>
  </si>
  <si>
    <t>Рішення Новокаховської міської ріди від 20.12.2018 р.          № 1644</t>
  </si>
  <si>
    <t>Рішення Новокаховської міської ради  від 12.12.2019 р.        № 2476 (зі змінами)</t>
  </si>
  <si>
    <t>Рішення Новокаховської міської ради від 12.12.2019 р.        № 2445 (зі змінами)</t>
  </si>
  <si>
    <t>Рішення Новокаховської міської ради від 20.12.2018 р.           № 1625 (зі змінами)</t>
  </si>
  <si>
    <t>Рішення Новокаховської міської ради від 24.12.2019 р.             № 2567 (зі змінами)</t>
  </si>
  <si>
    <t>Рішення Новокаховської міської ради від 24.12.2019 р.          № 2567 (зі змінами)</t>
  </si>
  <si>
    <t>0217413</t>
  </si>
  <si>
    <t>7413</t>
  </si>
  <si>
    <t>Інші заходи у сфері автотранспорту</t>
  </si>
  <si>
    <t>Інша діяльність, пов'язана з експлуатацією об'єктів житлово-комунального господарства</t>
  </si>
  <si>
    <t>Програма місцевих стимулів для медичних
працівників на території Новокаховської  міської ради на 2018-2022 роки</t>
  </si>
  <si>
    <t xml:space="preserve">кошти міського бюджету </t>
  </si>
  <si>
    <t>субвенція з місцевого бюджету за рахунок залишку коштів освітньої субвенції, що утворився на початок бюджетного періоду</t>
  </si>
  <si>
    <t>Додаток 6</t>
  </si>
  <si>
    <t>Додаток 5</t>
  </si>
  <si>
    <t>Доходи бюджету Новокаховської міської об"єднаної територіальної громади                                                                                             на  2020 рік</t>
  </si>
  <si>
    <t>Найменування згідно з Класифікацією доходів бюджету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</si>
  <si>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</si>
  <si>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</si>
  <si>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</si>
  <si>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</si>
  <si>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</si>
  <si>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</si>
  <si>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</si>
  <si>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</si>
  <si>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</si>
  <si>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</si>
  <si>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користування надрами</t>
  </si>
  <si>
    <t xml:space="preserve">Рентна плата за користування надрами для видобування корисних копалин загальнодержавного значення 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</si>
  <si>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</si>
  <si>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</si>
  <si>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</si>
  <si>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</si>
  <si>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</si>
  <si>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</si>
  <si>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</si>
  <si>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</si>
  <si>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 які є власниками об'єктів житлової нерухомості</t>
  </si>
  <si>
    <t>Податок на нерухоме майно, відмінне від земельної ділянки, сплачений фізичними особами, 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</si>
  <si>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</si>
  <si>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</si>
  <si>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</si>
  <si>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</si>
  <si>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</si>
  <si>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</si>
  <si>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</si>
  <si>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</si>
  <si>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</si>
  <si>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</si>
  <si>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Єдиний податок</t>
  </si>
  <si>
    <t xml:space="preserve">Єдиний податок з юридичних осіб 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</si>
  <si>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</si>
  <si>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</si>
  <si>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</si>
  <si>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t>Екологічний податок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</si>
  <si>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</si>
  <si>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</si>
  <si>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</si>
  <si>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</si>
  <si>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</si>
  <si>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</si>
  <si>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</si>
  <si>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Інші надходження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</si>
  <si>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</si>
  <si>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</si>
  <si>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</si>
  <si>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</si>
  <si>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</si>
  <si>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</si>
  <si>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</si>
  <si>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</si>
  <si>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</si>
  <si>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</si>
  <si>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</si>
  <si>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</si>
  <si>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 xml:space="preserve">Державне мито, пов'язане з видачею та оформленням закордонних паспортів (посвідок) та паспортів громадян України </t>
  </si>
  <si>
    <t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</si>
  <si>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</si>
  <si>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</si>
  <si>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Інші надходження до фондів охорони навколишнього природного середовища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</si>
  <si>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</si>
  <si>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Доходи від операцій з кредитування та надання гарантій</t>
  </si>
  <si>
    <t>Плата за гарантії, надані Верховною Радою Автономної Республіки Крим та міськими радами</t>
  </si>
  <si>
    <t>Надходження коштів пайової участі у розвитку інфраструктури населеного пункту</t>
  </si>
  <si>
    <t>Власні надходження бюджетних установ</t>
  </si>
  <si>
    <t xml:space="preserve">Надходження від плати за послуги, що надаються бюджетними установами згідно із законодавством </t>
  </si>
  <si>
    <t xml:space="preserve">Плата за послуги, що надаються бюджетними установами згідно з їх основною діяльністю 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</si>
  <si>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</si>
  <si>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 xml:space="preserve">Надходження бюджетних установ від реалізації в установленому порядку майна (крім нерухомого майна) </t>
  </si>
  <si>
    <t>Доходи від операцій з капіталом</t>
  </si>
  <si>
    <t>Надходження від продажу основного капіталу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</si>
  <si>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</si>
  <si>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</si>
  <si>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коштів від Державного фонду дорогоцінних металів і дорогоцінного каміння</t>
  </si>
  <si>
    <t>Кошти від відчуження майна, що належить Автономній Республіці Крим та майна, що перебуває в комунальній власності</t>
  </si>
  <si>
    <t>Кошти від продажу землі і нематеріальних активів</t>
  </si>
  <si>
    <t xml:space="preserve">Кошти від продажу землі 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</si>
  <si>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</si>
  <si>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</si>
  <si>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</si>
  <si>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</si>
  <si>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Дотації з державного бюджету місцевим бюджетам</t>
  </si>
  <si>
    <t>Базова дотація</t>
  </si>
  <si>
    <t>Субвенції 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</si>
  <si>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</si>
  <si>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</si>
  <si>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</si>
  <si>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Субвенції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</si>
  <si>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</si>
  <si>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</si>
  <si>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</si>
  <si>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Інші субвенції з місцевого бюджету                                            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</si>
  <si>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</si>
  <si>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Разом доходів</t>
  </si>
  <si>
    <t>Міжбюджетні трансферти на 2020 рік</t>
  </si>
  <si>
    <t>Код бюджету</t>
  </si>
  <si>
    <t>Найменування бюджету - одержувача/надавача міжбюджетного трансферту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</si>
  <si>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</si>
  <si>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</si>
  <si>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</si>
  <si>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</si>
  <si>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загального фонду на:</t>
  </si>
  <si>
    <t>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</si>
  <si>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здійснення переданих видатків у сфері освіти за рахунок коштів освітньої субвенції</t>
  </si>
  <si>
    <t>за рахунок залишку коштів освітньої субвенції, що утворився на початок бюджетного періоду</t>
  </si>
  <si>
    <t>надання державної підтримки особам з особливими освітніми потребами за рахунок відповідної субвенції з державного бюджету</t>
  </si>
  <si>
    <t>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</si>
  <si>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здійснення переданих видатків у сфері охорони здоров’я за рахунок коштів медичної субвенції</t>
  </si>
  <si>
    <t>здійснення підтримки окремих закладів та заходів у системі охорони здоров'я за рахунок відповідної субвенції з державного бюджету</t>
  </si>
  <si>
    <t>на  проведення витрат на поховання учасників бойових дій і осіб з інвалідністю внаслідок війни та для надання пільг на медичне обслуговування громадянам, які постраждали внаслідок Чорнобильської катастрофи</t>
  </si>
  <si>
    <t>на утримання та технічне обслуговування котелень, які знаходяться на балансі Таврійської міської ради</t>
  </si>
  <si>
    <t>у закладах загальної середньої освіти</t>
  </si>
  <si>
    <t>на закупівлю засобів навчання та обладнання для навчальних кабінетів початкової школи (видатки розвитку)</t>
  </si>
  <si>
    <t>на закупівлю обладнання, інвентарю для фізкультурно-спортивних приміщень, засобів навчання, у тому числі навчально-методичної та навчальної літератури, зошитів з друкованою основою для закладів загальної середньої освіти, що беруть участь у експерименті з реалізації Державного стандарту початкової освіти (видатки розвитку)</t>
  </si>
  <si>
    <t>на підвищення кваліфікації педагогічних працівників та проведення супервізії (видатки споживання)</t>
  </si>
  <si>
    <t>цільові видатки на лікування хворих на цукровий та нецукровий діабет</t>
  </si>
  <si>
    <t>створення нового освітнього простору профільної школи-академічного ліцею шляхом проведення капітального ремонту приміщень будівлі загальноосвітньої школи по вул. Затишна, 28 в м. Нова Каховка, з впровадженням енерго- та ресурсозберігаючих заходів (другий етап)</t>
  </si>
  <si>
    <t>на заробітну плату педагогічним працівникам інклюзивно-ресурсних центрів</t>
  </si>
  <si>
    <t>ремонт обладнання для їдалень (харчоблоків) державних або комунальних закладів загальної середньої освіти</t>
  </si>
  <si>
    <t>4</t>
  </si>
  <si>
    <t>5</t>
  </si>
  <si>
    <t>6</t>
  </si>
  <si>
    <t>7</t>
  </si>
  <si>
    <t>8</t>
  </si>
  <si>
    <t>9</t>
  </si>
  <si>
    <t>Державний бюджет</t>
  </si>
  <si>
    <t>Обласний бюджет</t>
  </si>
  <si>
    <t>Таврійський міський бюджет</t>
  </si>
  <si>
    <t>Районний бюджет Бериславського району</t>
  </si>
  <si>
    <t xml:space="preserve">Програма розвитку освітньої галузі на 2020-2022 роки </t>
  </si>
  <si>
    <t xml:space="preserve">до рішення </t>
  </si>
  <si>
    <t>виконавчого комітету</t>
  </si>
  <si>
    <t>Перший заступник міського голови</t>
  </si>
  <si>
    <t>Л.Г.Чурсинов</t>
  </si>
  <si>
    <t xml:space="preserve">до рішення  </t>
  </si>
  <si>
    <t>Перший заступник міськогоголови</t>
  </si>
  <si>
    <t>17.06.2020 року № 196</t>
  </si>
  <si>
    <t>17.06. 2020 року № 196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</si>
</sst>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0.0"/>
    <numFmt numFmtId="196" formatCode="0.00000"/>
    <numFmt numFmtId="197" formatCode="0.0000"/>
    <numFmt numFmtId="198" formatCode="0.000"/>
    <numFmt numFmtId="199" formatCode="#,##0_ ;\-#,##0\ "/>
    <numFmt numFmtId="200" formatCode="_-* #,##0.0\ _г_р_н_._-;\-* #,##0.0\ _г_р_н_._-;_-* &quot;-&quot;\ _г_р_н_._-;_-@_-"/>
  </numFmts>
  <fonts count="77"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4"/>
      <name val="Arial Cyr"/>
      <family val="0"/>
    </font>
    <font>
      <sz val="16"/>
      <name val="Arial Cyr"/>
      <family val="0"/>
    </font>
    <font>
      <b/>
      <sz val="19"/>
      <name val="Times New Roman"/>
      <family val="1"/>
    </font>
    <font>
      <sz val="19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11"/>
      <name val="Arial Cyr"/>
      <family val="0"/>
    </font>
    <font>
      <sz val="19"/>
      <color indexed="8"/>
      <name val="Times New Roman"/>
      <family val="1"/>
    </font>
    <font>
      <b/>
      <sz val="19"/>
      <color indexed="8"/>
      <name val="Times New Roman"/>
      <family val="1"/>
    </font>
    <font>
      <b/>
      <sz val="16"/>
      <name val="Times New Roman"/>
      <family val="1"/>
    </font>
    <font>
      <b/>
      <sz val="12"/>
      <color indexed="8"/>
      <name val="Times New Roman"/>
      <family val="1"/>
    </font>
    <font>
      <sz val="18"/>
      <name val="Arial Cyr"/>
      <family val="0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Arial Cyr"/>
      <family val="0"/>
    </font>
    <font>
      <sz val="12"/>
      <name val="Arial Cyr"/>
      <family val="0"/>
    </font>
    <font>
      <b/>
      <sz val="14"/>
      <name val="Times New Roman Cyr"/>
      <family val="0"/>
    </font>
    <font>
      <b/>
      <sz val="10"/>
      <name val="Times New Roman Cyr"/>
      <family val="1"/>
    </font>
    <font>
      <sz val="12.5"/>
      <name val="Times New Roman CYR"/>
      <family val="0"/>
    </font>
    <font>
      <sz val="12.5"/>
      <name val="Times New Roman"/>
      <family val="1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9"/>
      <color indexed="10"/>
      <name val="Times New Roman"/>
      <family val="1"/>
    </font>
    <font>
      <b/>
      <sz val="1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9"/>
      <color rgb="FFFF0000"/>
      <name val="Times New Roman"/>
      <family val="1"/>
    </font>
    <font>
      <sz val="19"/>
      <color rgb="FF000000"/>
      <name val="Times New Roman"/>
      <family val="1"/>
    </font>
    <font>
      <sz val="12"/>
      <color rgb="FF000000"/>
      <name val="Times New Roman"/>
      <family val="1"/>
    </font>
    <font>
      <b/>
      <sz val="1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12" fillId="0" borderId="0">
      <alignment vertical="top"/>
      <protection/>
    </xf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39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7" fillId="0" borderId="12" xfId="0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13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2" fillId="0" borderId="12" xfId="58" applyFont="1" applyBorder="1">
      <alignment/>
      <protection/>
    </xf>
    <xf numFmtId="0" fontId="2" fillId="0" borderId="12" xfId="58" applyFont="1" applyBorder="1" applyAlignment="1">
      <alignment wrapText="1"/>
      <protection/>
    </xf>
    <xf numFmtId="3" fontId="2" fillId="0" borderId="12" xfId="0" applyNumberFormat="1" applyFont="1" applyFill="1" applyBorder="1" applyAlignment="1" applyProtection="1">
      <alignment vertical="center"/>
      <protection/>
    </xf>
    <xf numFmtId="0" fontId="4" fillId="0" borderId="12" xfId="58" applyFont="1" applyBorder="1" applyAlignment="1">
      <alignment horizontal="center"/>
      <protection/>
    </xf>
    <xf numFmtId="0" fontId="4" fillId="0" borderId="12" xfId="58" applyFont="1" applyBorder="1" applyAlignment="1">
      <alignment wrapText="1"/>
      <protection/>
    </xf>
    <xf numFmtId="3" fontId="4" fillId="0" borderId="12" xfId="0" applyNumberFormat="1" applyFont="1" applyFill="1" applyBorder="1" applyAlignment="1" applyProtection="1">
      <alignment vertical="center"/>
      <protection/>
    </xf>
    <xf numFmtId="0" fontId="2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12" xfId="0" applyFont="1" applyBorder="1" applyAlignment="1" quotePrefix="1">
      <alignment horizontal="center"/>
    </xf>
    <xf numFmtId="0" fontId="10" fillId="0" borderId="12" xfId="0" applyFont="1" applyBorder="1" applyAlignment="1">
      <alignment horizontal="center"/>
    </xf>
    <xf numFmtId="187" fontId="2" fillId="0" borderId="12" xfId="66" applyNumberFormat="1" applyFont="1" applyBorder="1" applyAlignment="1">
      <alignment horizontal="center" vertical="center" wrapText="1"/>
    </xf>
    <xf numFmtId="187" fontId="2" fillId="0" borderId="12" xfId="66" applyNumberFormat="1" applyFont="1" applyFill="1" applyBorder="1" applyAlignment="1">
      <alignment horizontal="center" vertical="center" wrapText="1"/>
    </xf>
    <xf numFmtId="187" fontId="4" fillId="0" borderId="12" xfId="66" applyNumberFormat="1" applyFont="1" applyBorder="1" applyAlignment="1">
      <alignment horizontal="center" vertical="center" wrapText="1"/>
    </xf>
    <xf numFmtId="187" fontId="2" fillId="0" borderId="13" xfId="66" applyNumberFormat="1" applyFont="1" applyFill="1" applyBorder="1" applyAlignment="1" applyProtection="1">
      <alignment horizontal="center" vertical="center"/>
      <protection/>
    </xf>
    <xf numFmtId="187" fontId="2" fillId="0" borderId="12" xfId="66" applyNumberFormat="1" applyFont="1" applyFill="1" applyBorder="1" applyAlignment="1" applyProtection="1">
      <alignment horizontal="center" vertical="center"/>
      <protection/>
    </xf>
    <xf numFmtId="187" fontId="4" fillId="0" borderId="12" xfId="66" applyNumberFormat="1" applyFont="1" applyFill="1" applyBorder="1" applyAlignment="1" applyProtection="1">
      <alignment horizontal="center" vertical="center"/>
      <protection/>
    </xf>
    <xf numFmtId="187" fontId="8" fillId="0" borderId="12" xfId="66" applyNumberFormat="1" applyFont="1" applyBorder="1" applyAlignment="1">
      <alignment horizontal="center" vertical="center"/>
    </xf>
    <xf numFmtId="187" fontId="9" fillId="0" borderId="12" xfId="66" applyNumberFormat="1" applyFont="1" applyBorder="1" applyAlignment="1">
      <alignment horizontal="center" vertical="center"/>
    </xf>
    <xf numFmtId="187" fontId="8" fillId="0" borderId="0" xfId="66" applyNumberFormat="1" applyFont="1" applyAlignment="1">
      <alignment horizontal="center" vertical="center"/>
    </xf>
    <xf numFmtId="0" fontId="14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87" fontId="16" fillId="0" borderId="0" xfId="66" applyNumberFormat="1" applyFont="1" applyBorder="1" applyAlignment="1">
      <alignment vertical="center"/>
    </xf>
    <xf numFmtId="187" fontId="16" fillId="0" borderId="0" xfId="66" applyNumberFormat="1" applyFont="1" applyBorder="1" applyAlignment="1">
      <alignment vertical="center" wrapText="1"/>
    </xf>
    <xf numFmtId="0" fontId="19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14" xfId="0" applyFont="1" applyBorder="1" applyAlignment="1">
      <alignment horizontal="center" vertical="top" wrapText="1"/>
    </xf>
    <xf numFmtId="0" fontId="15" fillId="0" borderId="13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vertical="center" wrapText="1"/>
    </xf>
    <xf numFmtId="0" fontId="20" fillId="0" borderId="15" xfId="54" applyFont="1" applyBorder="1" applyAlignment="1">
      <alignment vertical="center" wrapText="1"/>
      <protection/>
    </xf>
    <xf numFmtId="0" fontId="20" fillId="0" borderId="12" xfId="55" applyFont="1" applyBorder="1" applyAlignment="1">
      <alignment vertical="center" wrapText="1"/>
      <protection/>
    </xf>
    <xf numFmtId="0" fontId="16" fillId="0" borderId="12" xfId="0" applyFont="1" applyBorder="1" applyAlignment="1">
      <alignment horizontal="center" vertical="top" wrapText="1"/>
    </xf>
    <xf numFmtId="0" fontId="16" fillId="0" borderId="0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49" fontId="16" fillId="0" borderId="12" xfId="0" applyNumberFormat="1" applyFont="1" applyFill="1" applyBorder="1" applyAlignment="1">
      <alignment horizontal="left" vertical="center" wrapText="1"/>
    </xf>
    <xf numFmtId="0" fontId="16" fillId="33" borderId="12" xfId="0" applyFont="1" applyFill="1" applyBorder="1" applyAlignment="1">
      <alignment vertical="center" wrapText="1"/>
    </xf>
    <xf numFmtId="0" fontId="20" fillId="0" borderId="16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vertical="center" wrapText="1"/>
    </xf>
    <xf numFmtId="0" fontId="16" fillId="0" borderId="15" xfId="0" applyFont="1" applyFill="1" applyBorder="1" applyAlignment="1">
      <alignment vertical="center" wrapText="1"/>
    </xf>
    <xf numFmtId="0" fontId="16" fillId="0" borderId="17" xfId="0" applyFont="1" applyFill="1" applyBorder="1" applyAlignment="1">
      <alignment vertical="center" wrapText="1"/>
    </xf>
    <xf numFmtId="0" fontId="16" fillId="0" borderId="16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49" fontId="15" fillId="0" borderId="13" xfId="0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 wrapText="1"/>
    </xf>
    <xf numFmtId="49" fontId="16" fillId="0" borderId="16" xfId="0" applyNumberFormat="1" applyFont="1" applyFill="1" applyBorder="1" applyAlignment="1">
      <alignment horizontal="center" vertical="center"/>
    </xf>
    <xf numFmtId="49" fontId="16" fillId="0" borderId="17" xfId="0" applyNumberFormat="1" applyFont="1" applyFill="1" applyBorder="1" applyAlignment="1">
      <alignment horizontal="center" vertical="center"/>
    </xf>
    <xf numFmtId="49" fontId="16" fillId="0" borderId="18" xfId="0" applyNumberFormat="1" applyFont="1" applyFill="1" applyBorder="1" applyAlignment="1">
      <alignment horizontal="center" vertical="center"/>
    </xf>
    <xf numFmtId="49" fontId="16" fillId="0" borderId="13" xfId="0" applyNumberFormat="1" applyFont="1" applyFill="1" applyBorder="1" applyAlignment="1">
      <alignment horizontal="center" vertical="center"/>
    </xf>
    <xf numFmtId="49" fontId="16" fillId="0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/>
    </xf>
    <xf numFmtId="199" fontId="15" fillId="0" borderId="13" xfId="66" applyNumberFormat="1" applyFont="1" applyBorder="1" applyAlignment="1">
      <alignment vertical="center" wrapText="1"/>
    </xf>
    <xf numFmtId="199" fontId="15" fillId="0" borderId="12" xfId="66" applyNumberFormat="1" applyFont="1" applyBorder="1" applyAlignment="1">
      <alignment vertical="center" wrapText="1"/>
    </xf>
    <xf numFmtId="199" fontId="16" fillId="0" borderId="12" xfId="66" applyNumberFormat="1" applyFont="1" applyBorder="1" applyAlignment="1">
      <alignment vertical="center"/>
    </xf>
    <xf numFmtId="199" fontId="16" fillId="0" borderId="12" xfId="66" applyNumberFormat="1" applyFont="1" applyBorder="1" applyAlignment="1">
      <alignment vertical="center" wrapText="1"/>
    </xf>
    <xf numFmtId="199" fontId="16" fillId="0" borderId="16" xfId="66" applyNumberFormat="1" applyFont="1" applyBorder="1" applyAlignment="1">
      <alignment vertical="center" wrapText="1"/>
    </xf>
    <xf numFmtId="199" fontId="16" fillId="0" borderId="16" xfId="66" applyNumberFormat="1" applyFont="1" applyBorder="1" applyAlignment="1">
      <alignment vertical="center"/>
    </xf>
    <xf numFmtId="199" fontId="15" fillId="0" borderId="13" xfId="66" applyNumberFormat="1" applyFont="1" applyBorder="1" applyAlignment="1">
      <alignment vertical="center"/>
    </xf>
    <xf numFmtId="199" fontId="16" fillId="0" borderId="12" xfId="0" applyNumberFormat="1" applyFont="1" applyBorder="1" applyAlignment="1">
      <alignment/>
    </xf>
    <xf numFmtId="199" fontId="16" fillId="0" borderId="17" xfId="66" applyNumberFormat="1" applyFont="1" applyBorder="1" applyAlignment="1">
      <alignment vertical="center"/>
    </xf>
    <xf numFmtId="199" fontId="16" fillId="0" borderId="17" xfId="66" applyNumberFormat="1" applyFont="1" applyBorder="1" applyAlignment="1">
      <alignment vertical="center" wrapText="1"/>
    </xf>
    <xf numFmtId="199" fontId="15" fillId="0" borderId="12" xfId="66" applyNumberFormat="1" applyFont="1" applyBorder="1" applyAlignment="1">
      <alignment vertical="center"/>
    </xf>
    <xf numFmtId="0" fontId="20" fillId="0" borderId="12" xfId="0" applyFont="1" applyBorder="1" applyAlignment="1">
      <alignment vertical="center" wrapText="1"/>
    </xf>
    <xf numFmtId="199" fontId="73" fillId="0" borderId="12" xfId="66" applyNumberFormat="1" applyFont="1" applyBorder="1" applyAlignment="1">
      <alignment vertical="center" wrapText="1"/>
    </xf>
    <xf numFmtId="0" fontId="16" fillId="0" borderId="1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1" fontId="16" fillId="0" borderId="12" xfId="0" applyNumberFormat="1" applyFont="1" applyFill="1" applyBorder="1" applyAlignment="1">
      <alignment horizontal="right" vertical="center"/>
    </xf>
    <xf numFmtId="1" fontId="16" fillId="0" borderId="12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0" fontId="74" fillId="0" borderId="0" xfId="0" applyFont="1" applyAlignment="1">
      <alignment wrapText="1"/>
    </xf>
    <xf numFmtId="187" fontId="7" fillId="0" borderId="0" xfId="66" applyNumberFormat="1" applyFont="1" applyBorder="1" applyAlignment="1">
      <alignment vertical="center"/>
    </xf>
    <xf numFmtId="199" fontId="9" fillId="0" borderId="0" xfId="0" applyNumberFormat="1" applyFont="1" applyAlignment="1">
      <alignment/>
    </xf>
    <xf numFmtId="199" fontId="16" fillId="0" borderId="12" xfId="66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194" fontId="2" fillId="0" borderId="12" xfId="0" applyNumberFormat="1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194" fontId="2" fillId="0" borderId="12" xfId="0" applyNumberFormat="1" applyFont="1" applyFill="1" applyBorder="1" applyAlignment="1">
      <alignment vertical="center" wrapText="1"/>
    </xf>
    <xf numFmtId="194" fontId="2" fillId="0" borderId="12" xfId="0" applyNumberFormat="1" applyFont="1" applyFill="1" applyBorder="1" applyAlignment="1">
      <alignment horizontal="left" vertical="center" wrapText="1"/>
    </xf>
    <xf numFmtId="194" fontId="2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>
      <alignment horizontal="left" vertical="center" wrapText="1" shrinkToFit="1"/>
    </xf>
    <xf numFmtId="0" fontId="4" fillId="0" borderId="12" xfId="0" applyFont="1" applyFill="1" applyBorder="1" applyAlignment="1">
      <alignment horizontal="left" vertical="center" wrapText="1" shrinkToFi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vertical="center" wrapText="1"/>
    </xf>
    <xf numFmtId="187" fontId="2" fillId="0" borderId="12" xfId="66" applyNumberFormat="1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49" fontId="2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24" fillId="0" borderId="0" xfId="0" applyFont="1" applyAlignment="1">
      <alignment/>
    </xf>
    <xf numFmtId="0" fontId="6" fillId="0" borderId="0" xfId="0" applyFont="1" applyAlignment="1">
      <alignment horizontal="center"/>
    </xf>
    <xf numFmtId="0" fontId="75" fillId="0" borderId="12" xfId="0" applyFont="1" applyBorder="1" applyAlignment="1">
      <alignment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/>
    </xf>
    <xf numFmtId="0" fontId="25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195" fontId="6" fillId="0" borderId="12" xfId="0" applyNumberFormat="1" applyFont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1" fontId="6" fillId="0" borderId="12" xfId="49" applyNumberFormat="1" applyFont="1" applyFill="1" applyBorder="1" applyAlignment="1">
      <alignment horizontal="center" vertical="center"/>
      <protection/>
    </xf>
    <xf numFmtId="0" fontId="6" fillId="33" borderId="12" xfId="0" applyFont="1" applyFill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26" fillId="0" borderId="12" xfId="49" applyNumberFormat="1" applyFont="1" applyFill="1" applyBorder="1" applyAlignment="1">
      <alignment horizontal="center" vertical="center"/>
      <protection/>
    </xf>
    <xf numFmtId="195" fontId="6" fillId="0" borderId="12" xfId="49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vertical="center" wrapText="1"/>
    </xf>
    <xf numFmtId="0" fontId="0" fillId="0" borderId="12" xfId="0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26" fillId="0" borderId="12" xfId="0" applyFont="1" applyFill="1" applyBorder="1" applyAlignment="1">
      <alignment vertical="center" wrapText="1"/>
    </xf>
    <xf numFmtId="0" fontId="6" fillId="0" borderId="12" xfId="57" applyFont="1" applyFill="1" applyBorder="1" applyAlignment="1">
      <alignment horizontal="center" vertical="center" wrapText="1"/>
      <protection/>
    </xf>
    <xf numFmtId="3" fontId="26" fillId="0" borderId="12" xfId="49" applyNumberFormat="1" applyFont="1" applyFill="1" applyBorder="1" applyAlignment="1">
      <alignment horizontal="center" vertical="center"/>
      <protection/>
    </xf>
    <xf numFmtId="194" fontId="6" fillId="0" borderId="12" xfId="49" applyNumberFormat="1" applyFont="1" applyFill="1" applyBorder="1" applyAlignment="1">
      <alignment horizontal="center" vertical="center"/>
      <protection/>
    </xf>
    <xf numFmtId="0" fontId="6" fillId="0" borderId="12" xfId="57" applyFont="1" applyFill="1" applyBorder="1" applyAlignment="1">
      <alignment horizontal="left" vertical="center" wrapText="1"/>
      <protection/>
    </xf>
    <xf numFmtId="3" fontId="6" fillId="0" borderId="12" xfId="49" applyNumberFormat="1" applyFont="1" applyFill="1" applyBorder="1" applyAlignment="1">
      <alignment horizontal="center" vertical="center"/>
      <protection/>
    </xf>
    <xf numFmtId="0" fontId="28" fillId="0" borderId="12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49" fontId="3" fillId="0" borderId="23" xfId="0" applyNumberFormat="1" applyFont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vertical="center" wrapText="1"/>
    </xf>
    <xf numFmtId="0" fontId="2" fillId="0" borderId="13" xfId="0" applyFont="1" applyBorder="1" applyAlignment="1">
      <alignment/>
    </xf>
    <xf numFmtId="187" fontId="4" fillId="0" borderId="12" xfId="66" applyNumberFormat="1" applyFont="1" applyBorder="1" applyAlignment="1">
      <alignment horizontal="center" vertical="center"/>
    </xf>
    <xf numFmtId="49" fontId="15" fillId="0" borderId="24" xfId="0" applyNumberFormat="1" applyFont="1" applyFill="1" applyBorder="1" applyAlignment="1">
      <alignment horizontal="center" vertical="center"/>
    </xf>
    <xf numFmtId="49" fontId="15" fillId="0" borderId="24" xfId="0" applyNumberFormat="1" applyFont="1" applyFill="1" applyBorder="1" applyAlignment="1" applyProtection="1">
      <alignment horizontal="center" vertical="center"/>
      <protection/>
    </xf>
    <xf numFmtId="0" fontId="15" fillId="0" borderId="25" xfId="0" applyFont="1" applyFill="1" applyBorder="1" applyAlignment="1">
      <alignment/>
    </xf>
    <xf numFmtId="199" fontId="76" fillId="0" borderId="12" xfId="66" applyNumberFormat="1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0" fillId="0" borderId="0" xfId="0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7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187" fontId="2" fillId="0" borderId="12" xfId="68" applyNumberFormat="1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187" fontId="0" fillId="0" borderId="0" xfId="0" applyNumberFormat="1" applyAlignment="1">
      <alignment/>
    </xf>
    <xf numFmtId="0" fontId="2" fillId="0" borderId="12" xfId="0" applyFont="1" applyBorder="1" applyAlignment="1">
      <alignment horizontal="justify" vertical="center"/>
    </xf>
    <xf numFmtId="0" fontId="11" fillId="0" borderId="12" xfId="0" applyFont="1" applyBorder="1" applyAlignment="1">
      <alignment vertical="center"/>
    </xf>
    <xf numFmtId="187" fontId="2" fillId="0" borderId="12" xfId="68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4" fillId="0" borderId="12" xfId="0" applyFont="1" applyBorder="1" applyAlignment="1">
      <alignment vertical="top" wrapText="1"/>
    </xf>
    <xf numFmtId="187" fontId="4" fillId="0" borderId="12" xfId="68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187" fontId="5" fillId="0" borderId="12" xfId="68" applyNumberFormat="1" applyFon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49" fontId="33" fillId="33" borderId="12" xfId="0" applyNumberFormat="1" applyFont="1" applyFill="1" applyBorder="1" applyAlignment="1">
      <alignment horizontal="center" vertical="center" wrapText="1"/>
    </xf>
    <xf numFmtId="0" fontId="33" fillId="33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1" fontId="7" fillId="0" borderId="12" xfId="0" applyNumberFormat="1" applyFont="1" applyBorder="1" applyAlignment="1">
      <alignment horizontal="center"/>
    </xf>
    <xf numFmtId="49" fontId="7" fillId="33" borderId="12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left" wrapText="1"/>
    </xf>
    <xf numFmtId="3" fontId="6" fillId="0" borderId="12" xfId="0" applyNumberFormat="1" applyFont="1" applyBorder="1" applyAlignment="1">
      <alignment horizontal="center"/>
    </xf>
    <xf numFmtId="0" fontId="6" fillId="0" borderId="26" xfId="0" applyFont="1" applyBorder="1" applyAlignment="1">
      <alignment horizontal="right" wrapText="1"/>
    </xf>
    <xf numFmtId="3" fontId="6" fillId="33" borderId="12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0" fontId="6" fillId="0" borderId="26" xfId="0" applyFont="1" applyBorder="1" applyAlignment="1">
      <alignment wrapText="1"/>
    </xf>
    <xf numFmtId="0" fontId="6" fillId="0" borderId="12" xfId="0" applyFont="1" applyBorder="1" applyAlignment="1">
      <alignment wrapText="1"/>
    </xf>
    <xf numFmtId="3" fontId="6" fillId="33" borderId="17" xfId="0" applyNumberFormat="1" applyFont="1" applyFill="1" applyBorder="1" applyAlignment="1">
      <alignment horizontal="center"/>
    </xf>
    <xf numFmtId="0" fontId="6" fillId="0" borderId="27" xfId="0" applyFont="1" applyBorder="1" applyAlignment="1">
      <alignment wrapText="1"/>
    </xf>
    <xf numFmtId="0" fontId="6" fillId="0" borderId="28" xfId="0" applyFont="1" applyBorder="1" applyAlignment="1">
      <alignment wrapText="1"/>
    </xf>
    <xf numFmtId="3" fontId="6" fillId="0" borderId="28" xfId="0" applyNumberFormat="1" applyFont="1" applyBorder="1" applyAlignment="1">
      <alignment horizontal="center"/>
    </xf>
    <xf numFmtId="3" fontId="6" fillId="33" borderId="28" xfId="0" applyNumberFormat="1" applyFont="1" applyFill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3" fontId="5" fillId="0" borderId="16" xfId="0" applyNumberFormat="1" applyFont="1" applyBorder="1" applyAlignment="1">
      <alignment horizontal="center" wrapText="1"/>
    </xf>
    <xf numFmtId="3" fontId="5" fillId="0" borderId="16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3" fontId="5" fillId="0" borderId="0" xfId="0" applyNumberFormat="1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4" fillId="0" borderId="18" xfId="58" applyFont="1" applyBorder="1" applyAlignment="1">
      <alignment wrapText="1"/>
      <protection/>
    </xf>
    <xf numFmtId="0" fontId="10" fillId="0" borderId="19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2" fillId="0" borderId="31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9" xfId="0" applyFont="1" applyBorder="1" applyAlignment="1">
      <alignment horizontal="left" vertical="center" wrapText="1"/>
    </xf>
    <xf numFmtId="0" fontId="10" fillId="0" borderId="19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7" fillId="0" borderId="0" xfId="0" applyFont="1" applyAlignment="1">
      <alignment vertical="top" wrapText="1"/>
    </xf>
    <xf numFmtId="0" fontId="6" fillId="0" borderId="33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6" fillId="0" borderId="38" xfId="0" applyFont="1" applyBorder="1" applyAlignment="1">
      <alignment horizontal="center"/>
    </xf>
    <xf numFmtId="0" fontId="6" fillId="0" borderId="31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/>
    </xf>
    <xf numFmtId="0" fontId="6" fillId="0" borderId="14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/>
    </xf>
    <xf numFmtId="0" fontId="6" fillId="0" borderId="3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33" fillId="0" borderId="24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3" fillId="0" borderId="13" xfId="0" applyFont="1" applyBorder="1" applyAlignment="1">
      <alignment vertical="center" wrapText="1"/>
    </xf>
    <xf numFmtId="0" fontId="3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3" fillId="33" borderId="28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33" fillId="33" borderId="44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2" fillId="0" borderId="46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3" fillId="0" borderId="27" xfId="0" applyFont="1" applyBorder="1" applyAlignment="1">
      <alignment/>
    </xf>
    <xf numFmtId="0" fontId="0" fillId="0" borderId="47" xfId="0" applyBorder="1" applyAlignment="1">
      <alignment/>
    </xf>
    <xf numFmtId="0" fontId="32" fillId="0" borderId="48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33" fillId="0" borderId="28" xfId="0" applyFont="1" applyBorder="1" applyAlignment="1">
      <alignment wrapText="1"/>
    </xf>
    <xf numFmtId="0" fontId="0" fillId="0" borderId="13" xfId="0" applyBorder="1" applyAlignment="1">
      <alignment wrapText="1"/>
    </xf>
    <xf numFmtId="0" fontId="33" fillId="33" borderId="49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3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8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3" fillId="33" borderId="13" xfId="0" applyFont="1" applyFill="1" applyBorder="1" applyAlignment="1">
      <alignment horizontal="center" vertical="center" wrapText="1"/>
    </xf>
    <xf numFmtId="0" fontId="33" fillId="33" borderId="1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3" fillId="33" borderId="51" xfId="0" applyFont="1" applyFill="1" applyBorder="1" applyAlignment="1">
      <alignment horizontal="center" vertical="center" wrapText="1"/>
    </xf>
    <xf numFmtId="0" fontId="33" fillId="0" borderId="52" xfId="0" applyFont="1" applyBorder="1" applyAlignment="1">
      <alignment vertical="center" wrapText="1"/>
    </xf>
    <xf numFmtId="0" fontId="33" fillId="0" borderId="44" xfId="0" applyFont="1" applyBorder="1" applyAlignment="1">
      <alignment vertical="center" wrapText="1"/>
    </xf>
    <xf numFmtId="0" fontId="33" fillId="0" borderId="45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33" fillId="33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33" fillId="0" borderId="44" xfId="0" applyFont="1" applyBorder="1" applyAlignment="1">
      <alignment horizontal="center" vertical="center" wrapText="1"/>
    </xf>
    <xf numFmtId="0" fontId="33" fillId="0" borderId="4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8" xfId="0" applyBorder="1" applyAlignment="1">
      <alignment wrapText="1"/>
    </xf>
    <xf numFmtId="0" fontId="6" fillId="0" borderId="12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 shrinkToFit="1"/>
    </xf>
    <xf numFmtId="0" fontId="2" fillId="0" borderId="12" xfId="0" applyFont="1" applyFill="1" applyBorder="1" applyAlignment="1">
      <alignment vertical="center"/>
    </xf>
    <xf numFmtId="194" fontId="2" fillId="0" borderId="12" xfId="0" applyNumberFormat="1" applyFont="1" applyFill="1" applyBorder="1" applyAlignment="1" applyProtection="1">
      <alignment vertical="center" wrapText="1"/>
      <protection/>
    </xf>
    <xf numFmtId="194" fontId="2" fillId="0" borderId="12" xfId="0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/>
    </xf>
    <xf numFmtId="49" fontId="2" fillId="0" borderId="12" xfId="0" applyNumberFormat="1" applyFont="1" applyFill="1" applyBorder="1" applyAlignment="1">
      <alignment horizontal="left"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2" xfId="0" applyFont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center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left" vertical="center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Обычный 4" xfId="55"/>
    <cellStyle name="Обычный 5" xfId="56"/>
    <cellStyle name="Обычный 5 2" xfId="57"/>
    <cellStyle name="Обычный_дод.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"/>
  <sheetViews>
    <sheetView tabSelected="1" view="pageBreakPreview" zoomScaleSheetLayoutView="100" zoomScalePageLayoutView="0" workbookViewId="0" topLeftCell="A22">
      <selection activeCell="F8" sqref="F8"/>
    </sheetView>
  </sheetViews>
  <sheetFormatPr defaultColWidth="9.00390625" defaultRowHeight="12.75"/>
  <cols>
    <col min="1" max="1" width="19.875" style="0" customWidth="1"/>
    <col min="2" max="2" width="41.50390625" style="0" customWidth="1"/>
    <col min="3" max="3" width="21.375" style="0" customWidth="1"/>
    <col min="4" max="4" width="21.625" style="0" customWidth="1"/>
    <col min="5" max="5" width="20.00390625" style="0" customWidth="1"/>
    <col min="6" max="6" width="18.125" style="0" customWidth="1"/>
    <col min="8" max="8" width="16.375" style="0" bestFit="1" customWidth="1"/>
  </cols>
  <sheetData>
    <row r="1" spans="1:6" ht="18">
      <c r="A1" s="259"/>
      <c r="B1" s="194"/>
      <c r="E1" s="195" t="s">
        <v>4</v>
      </c>
      <c r="F1" s="30"/>
    </row>
    <row r="2" spans="1:6" ht="19.5" customHeight="1">
      <c r="A2" s="259"/>
      <c r="B2" s="194"/>
      <c r="D2" s="196"/>
      <c r="E2" s="46" t="s">
        <v>703</v>
      </c>
      <c r="F2" s="46"/>
    </row>
    <row r="3" spans="1:6" ht="18">
      <c r="A3" s="259"/>
      <c r="B3" s="194"/>
      <c r="D3" s="196"/>
      <c r="E3" s="30" t="s">
        <v>704</v>
      </c>
      <c r="F3" s="30"/>
    </row>
    <row r="4" spans="1:6" ht="18">
      <c r="A4" s="259"/>
      <c r="B4" s="194"/>
      <c r="D4" s="196"/>
      <c r="E4" s="30" t="s">
        <v>709</v>
      </c>
      <c r="F4" s="30"/>
    </row>
    <row r="5" spans="1:6" ht="13.5">
      <c r="A5" s="259"/>
      <c r="B5" s="194"/>
      <c r="D5" s="260"/>
      <c r="E5" s="260"/>
      <c r="F5" s="260"/>
    </row>
    <row r="6" spans="1:6" ht="13.5">
      <c r="A6" s="259"/>
      <c r="B6" s="194"/>
      <c r="D6" s="197"/>
      <c r="E6" s="197"/>
      <c r="F6" s="4"/>
    </row>
    <row r="7" ht="12.75">
      <c r="A7" s="5"/>
    </row>
    <row r="8" spans="2:6" ht="45" customHeight="1">
      <c r="B8" s="261" t="s">
        <v>568</v>
      </c>
      <c r="C8" s="262"/>
      <c r="D8" s="262"/>
      <c r="E8" s="262"/>
      <c r="F8" s="198"/>
    </row>
    <row r="9" spans="1:6" ht="18">
      <c r="A9" s="199">
        <v>21528000000</v>
      </c>
      <c r="B9" s="200"/>
      <c r="C9" s="200"/>
      <c r="D9" s="200"/>
      <c r="E9" s="200"/>
      <c r="F9" s="200"/>
    </row>
    <row r="10" ht="12.75">
      <c r="A10" s="201" t="s">
        <v>25</v>
      </c>
    </row>
    <row r="11" ht="15">
      <c r="F11" s="202" t="s">
        <v>5</v>
      </c>
    </row>
    <row r="12" ht="15">
      <c r="F12" s="202"/>
    </row>
    <row r="13" spans="1:6" ht="15">
      <c r="A13" s="263" t="s">
        <v>6</v>
      </c>
      <c r="B13" s="263" t="s">
        <v>569</v>
      </c>
      <c r="C13" s="263" t="s">
        <v>7</v>
      </c>
      <c r="D13" s="263" t="s">
        <v>8</v>
      </c>
      <c r="E13" s="263" t="s">
        <v>9</v>
      </c>
      <c r="F13" s="263"/>
    </row>
    <row r="14" spans="1:6" ht="30.75">
      <c r="A14" s="263"/>
      <c r="B14" s="263"/>
      <c r="C14" s="263"/>
      <c r="D14" s="263"/>
      <c r="E14" s="26" t="s">
        <v>10</v>
      </c>
      <c r="F14" s="26" t="s">
        <v>11</v>
      </c>
    </row>
    <row r="15" spans="1:6" ht="12.75">
      <c r="A15" s="203">
        <v>1</v>
      </c>
      <c r="B15" s="203">
        <v>2</v>
      </c>
      <c r="C15" s="203">
        <v>3</v>
      </c>
      <c r="D15" s="203">
        <v>4</v>
      </c>
      <c r="E15" s="203">
        <v>5</v>
      </c>
      <c r="F15" s="203">
        <v>6</v>
      </c>
    </row>
    <row r="16" spans="1:6" ht="15">
      <c r="A16" s="26">
        <v>10000000</v>
      </c>
      <c r="B16" s="204" t="s">
        <v>570</v>
      </c>
      <c r="C16" s="205">
        <f>D16+E16</f>
        <v>354979401</v>
      </c>
      <c r="D16" s="205">
        <f>D17+D25+D28+D34+D53</f>
        <v>354819401</v>
      </c>
      <c r="E16" s="205">
        <f>E17+E25+E28+E34+E53</f>
        <v>160000</v>
      </c>
      <c r="F16" s="205"/>
    </row>
    <row r="17" spans="1:8" ht="46.5">
      <c r="A17" s="206">
        <v>11000000</v>
      </c>
      <c r="B17" s="207" t="s">
        <v>571</v>
      </c>
      <c r="C17" s="205">
        <f aca="true" t="shared" si="0" ref="C17:C90">D17+E17</f>
        <v>226466201</v>
      </c>
      <c r="D17" s="205">
        <f>D18+D23</f>
        <v>226466201</v>
      </c>
      <c r="E17" s="205"/>
      <c r="F17" s="205"/>
      <c r="H17" s="208"/>
    </row>
    <row r="18" spans="1:6" ht="15">
      <c r="A18" s="206">
        <v>11010000</v>
      </c>
      <c r="B18" s="207" t="s">
        <v>572</v>
      </c>
      <c r="C18" s="205">
        <f t="shared" si="0"/>
        <v>226458201</v>
      </c>
      <c r="D18" s="205">
        <f>SUM(D19:D22)</f>
        <v>226458201</v>
      </c>
      <c r="E18" s="205"/>
      <c r="F18" s="205"/>
    </row>
    <row r="19" spans="1:6" ht="78" customHeight="1">
      <c r="A19" s="206">
        <v>11010100</v>
      </c>
      <c r="B19" s="207" t="s">
        <v>573</v>
      </c>
      <c r="C19" s="205">
        <f t="shared" si="0"/>
        <v>169318201</v>
      </c>
      <c r="D19" s="205">
        <f>166444397+2203990+40000+629814</f>
        <v>169318201</v>
      </c>
      <c r="E19" s="205"/>
      <c r="F19" s="205"/>
    </row>
    <row r="20" spans="1:6" ht="99.75" customHeight="1">
      <c r="A20" s="206">
        <v>11010200</v>
      </c>
      <c r="B20" s="207" t="s">
        <v>574</v>
      </c>
      <c r="C20" s="205">
        <f t="shared" si="0"/>
        <v>48015000</v>
      </c>
      <c r="D20" s="205">
        <v>48015000</v>
      </c>
      <c r="E20" s="205"/>
      <c r="F20" s="205"/>
    </row>
    <row r="21" spans="1:6" ht="62.25">
      <c r="A21" s="206">
        <v>11010400</v>
      </c>
      <c r="B21" s="207" t="s">
        <v>575</v>
      </c>
      <c r="C21" s="205">
        <f t="shared" si="0"/>
        <v>6131600</v>
      </c>
      <c r="D21" s="205">
        <v>6131600</v>
      </c>
      <c r="E21" s="205"/>
      <c r="F21" s="205"/>
    </row>
    <row r="22" spans="1:6" ht="46.5">
      <c r="A22" s="206">
        <v>11010500</v>
      </c>
      <c r="B22" s="207" t="s">
        <v>576</v>
      </c>
      <c r="C22" s="205">
        <f t="shared" si="0"/>
        <v>2993400</v>
      </c>
      <c r="D22" s="205">
        <v>2993400</v>
      </c>
      <c r="E22" s="205"/>
      <c r="F22" s="205"/>
    </row>
    <row r="23" spans="1:6" ht="15">
      <c r="A23" s="206">
        <v>11020000</v>
      </c>
      <c r="B23" s="207" t="s">
        <v>577</v>
      </c>
      <c r="C23" s="205">
        <f t="shared" si="0"/>
        <v>8000</v>
      </c>
      <c r="D23" s="205">
        <f>D24</f>
        <v>8000</v>
      </c>
      <c r="E23" s="205"/>
      <c r="F23" s="205"/>
    </row>
    <row r="24" spans="1:6" ht="46.5">
      <c r="A24" s="206">
        <v>11020200</v>
      </c>
      <c r="B24" s="207" t="s">
        <v>578</v>
      </c>
      <c r="C24" s="205">
        <f t="shared" si="0"/>
        <v>8000</v>
      </c>
      <c r="D24" s="205">
        <v>8000</v>
      </c>
      <c r="E24" s="205"/>
      <c r="F24" s="205"/>
    </row>
    <row r="25" spans="1:6" ht="30.75">
      <c r="A25" s="206">
        <v>13000000</v>
      </c>
      <c r="B25" s="207" t="s">
        <v>579</v>
      </c>
      <c r="C25" s="205">
        <f t="shared" si="0"/>
        <v>81000</v>
      </c>
      <c r="D25" s="205">
        <f>D26</f>
        <v>81000</v>
      </c>
      <c r="E25" s="205"/>
      <c r="F25" s="205"/>
    </row>
    <row r="26" spans="1:6" ht="15">
      <c r="A26" s="206">
        <v>13030000</v>
      </c>
      <c r="B26" s="209" t="s">
        <v>580</v>
      </c>
      <c r="C26" s="205">
        <f t="shared" si="0"/>
        <v>81000</v>
      </c>
      <c r="D26" s="205">
        <f>D27</f>
        <v>81000</v>
      </c>
      <c r="E26" s="205"/>
      <c r="F26" s="205"/>
    </row>
    <row r="27" spans="1:8" ht="46.5">
      <c r="A27" s="206">
        <v>13030100</v>
      </c>
      <c r="B27" s="207" t="s">
        <v>581</v>
      </c>
      <c r="C27" s="205">
        <f t="shared" si="0"/>
        <v>81000</v>
      </c>
      <c r="D27" s="205">
        <v>81000</v>
      </c>
      <c r="E27" s="205"/>
      <c r="F27" s="205"/>
      <c r="H27" s="208"/>
    </row>
    <row r="28" spans="1:6" ht="15">
      <c r="A28" s="206">
        <v>14000000</v>
      </c>
      <c r="B28" s="207" t="s">
        <v>582</v>
      </c>
      <c r="C28" s="205">
        <f t="shared" si="0"/>
        <v>38881400</v>
      </c>
      <c r="D28" s="205">
        <f>D33+D29+D31</f>
        <v>38881400</v>
      </c>
      <c r="E28" s="205"/>
      <c r="F28" s="205"/>
    </row>
    <row r="29" spans="1:6" ht="30.75">
      <c r="A29" s="206">
        <v>14020000</v>
      </c>
      <c r="B29" s="207" t="s">
        <v>583</v>
      </c>
      <c r="C29" s="205">
        <f t="shared" si="0"/>
        <v>3018100</v>
      </c>
      <c r="D29" s="205">
        <f>D30</f>
        <v>3018100</v>
      </c>
      <c r="E29" s="205"/>
      <c r="F29" s="205"/>
    </row>
    <row r="30" spans="1:6" ht="15">
      <c r="A30" s="206">
        <v>14021900</v>
      </c>
      <c r="B30" s="207" t="s">
        <v>584</v>
      </c>
      <c r="C30" s="205">
        <f t="shared" si="0"/>
        <v>3018100</v>
      </c>
      <c r="D30" s="205">
        <v>3018100</v>
      </c>
      <c r="E30" s="205"/>
      <c r="F30" s="205"/>
    </row>
    <row r="31" spans="1:8" ht="46.5">
      <c r="A31" s="206">
        <v>14030000</v>
      </c>
      <c r="B31" s="207" t="s">
        <v>585</v>
      </c>
      <c r="C31" s="205">
        <f t="shared" si="0"/>
        <v>12996000</v>
      </c>
      <c r="D31" s="205">
        <f>D32</f>
        <v>12996000</v>
      </c>
      <c r="E31" s="205"/>
      <c r="F31" s="205"/>
      <c r="H31">
        <f>D29+D31</f>
        <v>16014100</v>
      </c>
    </row>
    <row r="32" spans="1:6" ht="15">
      <c r="A32" s="206">
        <v>14031900</v>
      </c>
      <c r="B32" s="207" t="s">
        <v>584</v>
      </c>
      <c r="C32" s="205">
        <f t="shared" si="0"/>
        <v>12996000</v>
      </c>
      <c r="D32" s="205">
        <v>12996000</v>
      </c>
      <c r="E32" s="205"/>
      <c r="F32" s="205"/>
    </row>
    <row r="33" spans="1:6" ht="46.5">
      <c r="A33" s="206">
        <v>14040000</v>
      </c>
      <c r="B33" s="207" t="s">
        <v>586</v>
      </c>
      <c r="C33" s="205">
        <f t="shared" si="0"/>
        <v>22867300</v>
      </c>
      <c r="D33" s="205">
        <v>22867300</v>
      </c>
      <c r="E33" s="205"/>
      <c r="F33" s="205"/>
    </row>
    <row r="34" spans="1:8" ht="15">
      <c r="A34" s="206">
        <v>18000000</v>
      </c>
      <c r="B34" s="207" t="s">
        <v>587</v>
      </c>
      <c r="C34" s="205">
        <f t="shared" si="0"/>
        <v>89390800</v>
      </c>
      <c r="D34" s="205">
        <f>D35+D46+D49</f>
        <v>89390800</v>
      </c>
      <c r="E34" s="205"/>
      <c r="F34" s="205"/>
      <c r="H34" s="208"/>
    </row>
    <row r="35" spans="1:6" ht="15">
      <c r="A35" s="206">
        <v>18010000</v>
      </c>
      <c r="B35" s="207" t="s">
        <v>588</v>
      </c>
      <c r="C35" s="205">
        <f t="shared" si="0"/>
        <v>41095300</v>
      </c>
      <c r="D35" s="205">
        <f>SUM(D36:D45)</f>
        <v>41095300</v>
      </c>
      <c r="E35" s="205"/>
      <c r="F35" s="205"/>
    </row>
    <row r="36" spans="1:6" ht="62.25">
      <c r="A36" s="206">
        <v>18010100</v>
      </c>
      <c r="B36" s="27" t="s">
        <v>589</v>
      </c>
      <c r="C36" s="205">
        <f t="shared" si="0"/>
        <v>64400</v>
      </c>
      <c r="D36" s="205">
        <v>64400</v>
      </c>
      <c r="E36" s="205"/>
      <c r="F36" s="205"/>
    </row>
    <row r="37" spans="1:6" ht="75.75" customHeight="1">
      <c r="A37" s="206">
        <v>18010200</v>
      </c>
      <c r="B37" s="27" t="s">
        <v>590</v>
      </c>
      <c r="C37" s="205">
        <f t="shared" si="0"/>
        <v>380900</v>
      </c>
      <c r="D37" s="205">
        <v>380900</v>
      </c>
      <c r="E37" s="205"/>
      <c r="F37" s="205"/>
    </row>
    <row r="38" spans="1:6" ht="74.25" customHeight="1">
      <c r="A38" s="206">
        <v>18010300</v>
      </c>
      <c r="B38" s="27" t="s">
        <v>591</v>
      </c>
      <c r="C38" s="205">
        <f t="shared" si="0"/>
        <v>510700</v>
      </c>
      <c r="D38" s="205">
        <v>510700</v>
      </c>
      <c r="E38" s="205"/>
      <c r="F38" s="205"/>
    </row>
    <row r="39" spans="1:6" ht="62.25">
      <c r="A39" s="206">
        <v>18010400</v>
      </c>
      <c r="B39" s="27" t="s">
        <v>592</v>
      </c>
      <c r="C39" s="205">
        <f t="shared" si="0"/>
        <v>2230400</v>
      </c>
      <c r="D39" s="205">
        <v>2230400</v>
      </c>
      <c r="E39" s="205"/>
      <c r="F39" s="205"/>
    </row>
    <row r="40" spans="1:6" ht="15">
      <c r="A40" s="206">
        <v>18010500</v>
      </c>
      <c r="B40" s="27" t="s">
        <v>593</v>
      </c>
      <c r="C40" s="205">
        <f t="shared" si="0"/>
        <v>11276300</v>
      </c>
      <c r="D40" s="205">
        <v>11276300</v>
      </c>
      <c r="E40" s="205"/>
      <c r="F40" s="205"/>
    </row>
    <row r="41" spans="1:6" ht="15">
      <c r="A41" s="206">
        <v>18010600</v>
      </c>
      <c r="B41" s="27" t="s">
        <v>594</v>
      </c>
      <c r="C41" s="205">
        <f t="shared" si="0"/>
        <v>18884000</v>
      </c>
      <c r="D41" s="205">
        <v>18884000</v>
      </c>
      <c r="E41" s="205"/>
      <c r="F41" s="205"/>
    </row>
    <row r="42" spans="1:6" ht="15">
      <c r="A42" s="206">
        <v>18010700</v>
      </c>
      <c r="B42" s="27" t="s">
        <v>595</v>
      </c>
      <c r="C42" s="205">
        <f t="shared" si="0"/>
        <v>1296100</v>
      </c>
      <c r="D42" s="205">
        <v>1296100</v>
      </c>
      <c r="E42" s="205"/>
      <c r="F42" s="205"/>
    </row>
    <row r="43" spans="1:6" ht="15">
      <c r="A43" s="206">
        <v>18010900</v>
      </c>
      <c r="B43" s="27" t="s">
        <v>596</v>
      </c>
      <c r="C43" s="205">
        <f t="shared" si="0"/>
        <v>6177500</v>
      </c>
      <c r="D43" s="205">
        <v>6177500</v>
      </c>
      <c r="E43" s="205"/>
      <c r="F43" s="205"/>
    </row>
    <row r="44" spans="1:6" ht="15">
      <c r="A44" s="206">
        <v>18011000</v>
      </c>
      <c r="B44" s="27" t="s">
        <v>597</v>
      </c>
      <c r="C44" s="205">
        <f t="shared" si="0"/>
        <v>175000</v>
      </c>
      <c r="D44" s="205">
        <v>175000</v>
      </c>
      <c r="E44" s="205"/>
      <c r="F44" s="205"/>
    </row>
    <row r="45" spans="1:6" ht="15">
      <c r="A45" s="206">
        <v>18011100</v>
      </c>
      <c r="B45" s="193" t="s">
        <v>598</v>
      </c>
      <c r="C45" s="205">
        <f t="shared" si="0"/>
        <v>100000</v>
      </c>
      <c r="D45" s="205">
        <v>100000</v>
      </c>
      <c r="E45" s="205"/>
      <c r="F45" s="205"/>
    </row>
    <row r="46" spans="1:6" ht="15">
      <c r="A46" s="206">
        <v>18030000</v>
      </c>
      <c r="B46" s="193" t="s">
        <v>599</v>
      </c>
      <c r="C46" s="205">
        <f t="shared" si="0"/>
        <v>136400</v>
      </c>
      <c r="D46" s="205">
        <f>SUM(D47:D48)</f>
        <v>136400</v>
      </c>
      <c r="E46" s="205"/>
      <c r="F46" s="205"/>
    </row>
    <row r="47" spans="1:6" ht="30.75">
      <c r="A47" s="206">
        <v>18030100</v>
      </c>
      <c r="B47" s="193" t="s">
        <v>600</v>
      </c>
      <c r="C47" s="205">
        <f t="shared" si="0"/>
        <v>50600</v>
      </c>
      <c r="D47" s="205">
        <v>50600</v>
      </c>
      <c r="E47" s="205"/>
      <c r="F47" s="205"/>
    </row>
    <row r="48" spans="1:6" ht="30.75">
      <c r="A48" s="206">
        <v>18030200</v>
      </c>
      <c r="B48" s="193" t="s">
        <v>601</v>
      </c>
      <c r="C48" s="205">
        <f t="shared" si="0"/>
        <v>85800</v>
      </c>
      <c r="D48" s="205">
        <v>85800</v>
      </c>
      <c r="E48" s="205"/>
      <c r="F48" s="205"/>
    </row>
    <row r="49" spans="1:6" ht="15">
      <c r="A49" s="206">
        <v>18050000</v>
      </c>
      <c r="B49" s="210" t="s">
        <v>602</v>
      </c>
      <c r="C49" s="205">
        <f t="shared" si="0"/>
        <v>48159100</v>
      </c>
      <c r="D49" s="205">
        <f>SUM(D50:D52)</f>
        <v>48159100</v>
      </c>
      <c r="E49" s="205"/>
      <c r="F49" s="205"/>
    </row>
    <row r="50" spans="1:6" ht="15">
      <c r="A50" s="206">
        <v>18050300</v>
      </c>
      <c r="B50" s="210" t="s">
        <v>603</v>
      </c>
      <c r="C50" s="205">
        <f t="shared" si="0"/>
        <v>8744700</v>
      </c>
      <c r="D50" s="205">
        <v>8744700</v>
      </c>
      <c r="E50" s="205"/>
      <c r="F50" s="205"/>
    </row>
    <row r="51" spans="1:6" ht="15">
      <c r="A51" s="206">
        <v>18050400</v>
      </c>
      <c r="B51" s="210" t="s">
        <v>604</v>
      </c>
      <c r="C51" s="205">
        <f t="shared" si="0"/>
        <v>38423800</v>
      </c>
      <c r="D51" s="205">
        <v>38423800</v>
      </c>
      <c r="E51" s="205"/>
      <c r="F51" s="205"/>
    </row>
    <row r="52" spans="1:6" ht="93">
      <c r="A52" s="206">
        <v>18050500</v>
      </c>
      <c r="B52" s="27" t="s">
        <v>605</v>
      </c>
      <c r="C52" s="205">
        <f t="shared" si="0"/>
        <v>990600</v>
      </c>
      <c r="D52" s="205">
        <v>990600</v>
      </c>
      <c r="E52" s="205"/>
      <c r="F52" s="205"/>
    </row>
    <row r="53" spans="1:6" ht="15">
      <c r="A53" s="206">
        <v>19000000</v>
      </c>
      <c r="B53" s="207" t="s">
        <v>606</v>
      </c>
      <c r="C53" s="205">
        <f t="shared" si="0"/>
        <v>160000</v>
      </c>
      <c r="D53" s="205"/>
      <c r="E53" s="205">
        <f>E54</f>
        <v>160000</v>
      </c>
      <c r="F53" s="205"/>
    </row>
    <row r="54" spans="1:6" ht="15">
      <c r="A54" s="206">
        <v>19010000</v>
      </c>
      <c r="B54" s="207" t="s">
        <v>607</v>
      </c>
      <c r="C54" s="205">
        <f t="shared" si="0"/>
        <v>160000</v>
      </c>
      <c r="D54" s="205"/>
      <c r="E54" s="205">
        <f>SUM(E55:E57)</f>
        <v>160000</v>
      </c>
      <c r="F54" s="205"/>
    </row>
    <row r="55" spans="1:6" ht="93">
      <c r="A55" s="206">
        <v>19010100</v>
      </c>
      <c r="B55" s="207" t="s">
        <v>608</v>
      </c>
      <c r="C55" s="205">
        <f t="shared" si="0"/>
        <v>31000</v>
      </c>
      <c r="D55" s="205"/>
      <c r="E55" s="211">
        <v>31000</v>
      </c>
      <c r="F55" s="205"/>
    </row>
    <row r="56" spans="1:6" ht="30.75">
      <c r="A56" s="206">
        <v>19010200</v>
      </c>
      <c r="B56" s="207" t="s">
        <v>609</v>
      </c>
      <c r="C56" s="205">
        <f t="shared" si="0"/>
        <v>111000</v>
      </c>
      <c r="D56" s="205"/>
      <c r="E56" s="205">
        <v>111000</v>
      </c>
      <c r="F56" s="205"/>
    </row>
    <row r="57" spans="1:6" ht="62.25">
      <c r="A57" s="206">
        <v>19010300</v>
      </c>
      <c r="B57" s="207" t="s">
        <v>610</v>
      </c>
      <c r="C57" s="205">
        <f t="shared" si="0"/>
        <v>18000</v>
      </c>
      <c r="D57" s="205"/>
      <c r="E57" s="205">
        <v>18000</v>
      </c>
      <c r="F57" s="205"/>
    </row>
    <row r="58" spans="1:6" ht="15">
      <c r="A58" s="26">
        <v>20000000</v>
      </c>
      <c r="B58" s="204" t="s">
        <v>611</v>
      </c>
      <c r="C58" s="205">
        <f t="shared" si="0"/>
        <v>17977434</v>
      </c>
      <c r="D58" s="205">
        <f>D59+D66+D77</f>
        <v>8372411</v>
      </c>
      <c r="E58" s="205">
        <f>E59+E66+E77+E86</f>
        <v>9605023</v>
      </c>
      <c r="F58" s="205">
        <f>F59+F66+F77+F86</f>
        <v>150012</v>
      </c>
    </row>
    <row r="59" spans="1:8" ht="30.75">
      <c r="A59" s="206">
        <v>21000000</v>
      </c>
      <c r="B59" s="207" t="s">
        <v>612</v>
      </c>
      <c r="C59" s="205">
        <f t="shared" si="0"/>
        <v>230972</v>
      </c>
      <c r="D59" s="205">
        <f>D60+D62</f>
        <v>230972</v>
      </c>
      <c r="E59" s="205"/>
      <c r="F59" s="205"/>
      <c r="H59" s="208"/>
    </row>
    <row r="60" spans="1:6" ht="124.5">
      <c r="A60" s="206">
        <v>21010000</v>
      </c>
      <c r="B60" s="207" t="s">
        <v>613</v>
      </c>
      <c r="C60" s="205">
        <f t="shared" si="0"/>
        <v>60872</v>
      </c>
      <c r="D60" s="205">
        <f>D61</f>
        <v>60872</v>
      </c>
      <c r="E60" s="205"/>
      <c r="F60" s="205"/>
    </row>
    <row r="61" spans="1:6" ht="62.25">
      <c r="A61" s="206">
        <v>21010300</v>
      </c>
      <c r="B61" s="207" t="s">
        <v>614</v>
      </c>
      <c r="C61" s="205">
        <f t="shared" si="0"/>
        <v>60872</v>
      </c>
      <c r="D61" s="205">
        <f>500+60372</f>
        <v>60872</v>
      </c>
      <c r="E61" s="205"/>
      <c r="F61" s="205"/>
    </row>
    <row r="62" spans="1:6" ht="15">
      <c r="A62" s="28">
        <v>21080000</v>
      </c>
      <c r="B62" s="212" t="s">
        <v>615</v>
      </c>
      <c r="C62" s="205">
        <f t="shared" si="0"/>
        <v>170100</v>
      </c>
      <c r="D62" s="205">
        <f>SUM(D63:D65)</f>
        <v>170100</v>
      </c>
      <c r="E62" s="205"/>
      <c r="F62" s="205"/>
    </row>
    <row r="63" spans="1:6" ht="15">
      <c r="A63" s="28">
        <v>21081100</v>
      </c>
      <c r="B63" s="193" t="s">
        <v>616</v>
      </c>
      <c r="C63" s="205">
        <f t="shared" si="0"/>
        <v>42800</v>
      </c>
      <c r="D63" s="205">
        <v>42800</v>
      </c>
      <c r="E63" s="205"/>
      <c r="F63" s="205"/>
    </row>
    <row r="64" spans="1:6" ht="62.25">
      <c r="A64" s="28">
        <v>21081500</v>
      </c>
      <c r="B64" s="193" t="s">
        <v>617</v>
      </c>
      <c r="C64" s="205">
        <f t="shared" si="0"/>
        <v>119000</v>
      </c>
      <c r="D64" s="205">
        <v>119000</v>
      </c>
      <c r="E64" s="205"/>
      <c r="F64" s="205"/>
    </row>
    <row r="65" spans="1:6" ht="30.75">
      <c r="A65" s="28">
        <v>21081700</v>
      </c>
      <c r="B65" s="193" t="s">
        <v>618</v>
      </c>
      <c r="C65" s="205">
        <f t="shared" si="0"/>
        <v>8300</v>
      </c>
      <c r="D65" s="205">
        <v>8300</v>
      </c>
      <c r="E65" s="205"/>
      <c r="F65" s="205"/>
    </row>
    <row r="66" spans="1:6" ht="46.5">
      <c r="A66" s="206">
        <v>22000000</v>
      </c>
      <c r="B66" s="207" t="s">
        <v>619</v>
      </c>
      <c r="C66" s="205">
        <f t="shared" si="0"/>
        <v>7909400</v>
      </c>
      <c r="D66" s="205">
        <f>D67+D71+D73+D76</f>
        <v>7909400</v>
      </c>
      <c r="E66" s="205"/>
      <c r="F66" s="205"/>
    </row>
    <row r="67" spans="1:8" ht="30.75">
      <c r="A67" s="28">
        <v>22010000</v>
      </c>
      <c r="B67" s="193" t="s">
        <v>620</v>
      </c>
      <c r="C67" s="205">
        <f t="shared" si="0"/>
        <v>3736100</v>
      </c>
      <c r="D67" s="205">
        <f>D68+D69+D70</f>
        <v>3736100</v>
      </c>
      <c r="E67" s="205"/>
      <c r="F67" s="205"/>
      <c r="H67" s="208"/>
    </row>
    <row r="68" spans="1:6" ht="62.25">
      <c r="A68" s="28">
        <v>22010300</v>
      </c>
      <c r="B68" s="193" t="s">
        <v>621</v>
      </c>
      <c r="C68" s="205">
        <f t="shared" si="0"/>
        <v>230000</v>
      </c>
      <c r="D68" s="205">
        <v>230000</v>
      </c>
      <c r="E68" s="205"/>
      <c r="F68" s="205"/>
    </row>
    <row r="69" spans="1:6" ht="30.75">
      <c r="A69" s="28">
        <v>22012500</v>
      </c>
      <c r="B69" s="193" t="s">
        <v>622</v>
      </c>
      <c r="C69" s="205">
        <f t="shared" si="0"/>
        <v>3154100</v>
      </c>
      <c r="D69" s="205">
        <v>3154100</v>
      </c>
      <c r="E69" s="205"/>
      <c r="F69" s="205"/>
    </row>
    <row r="70" spans="1:6" ht="46.5">
      <c r="A70" s="28">
        <v>22012600</v>
      </c>
      <c r="B70" s="193" t="s">
        <v>623</v>
      </c>
      <c r="C70" s="205">
        <f t="shared" si="0"/>
        <v>352000</v>
      </c>
      <c r="D70" s="205">
        <v>352000</v>
      </c>
      <c r="E70" s="205"/>
      <c r="F70" s="205"/>
    </row>
    <row r="71" spans="1:6" ht="62.25">
      <c r="A71" s="206">
        <v>22080000</v>
      </c>
      <c r="B71" s="207" t="s">
        <v>624</v>
      </c>
      <c r="C71" s="205">
        <f t="shared" si="0"/>
        <v>4102000</v>
      </c>
      <c r="D71" s="205">
        <f>D72</f>
        <v>4102000</v>
      </c>
      <c r="E71" s="205"/>
      <c r="F71" s="205"/>
    </row>
    <row r="72" spans="1:6" ht="62.25">
      <c r="A72" s="206">
        <v>22080400</v>
      </c>
      <c r="B72" s="207" t="s">
        <v>625</v>
      </c>
      <c r="C72" s="205">
        <f t="shared" si="0"/>
        <v>4102000</v>
      </c>
      <c r="D72" s="205">
        <v>4102000</v>
      </c>
      <c r="E72" s="205"/>
      <c r="F72" s="205"/>
    </row>
    <row r="73" spans="1:6" ht="15">
      <c r="A73" s="206">
        <v>22090000</v>
      </c>
      <c r="B73" s="207" t="s">
        <v>626</v>
      </c>
      <c r="C73" s="205">
        <f t="shared" si="0"/>
        <v>69300</v>
      </c>
      <c r="D73" s="205">
        <f>SUM(D74:D75)</f>
        <v>69300</v>
      </c>
      <c r="E73" s="205"/>
      <c r="F73" s="205"/>
    </row>
    <row r="74" spans="1:6" ht="62.25">
      <c r="A74" s="206">
        <v>22090100</v>
      </c>
      <c r="B74" s="207" t="s">
        <v>627</v>
      </c>
      <c r="C74" s="205">
        <f t="shared" si="0"/>
        <v>15300</v>
      </c>
      <c r="D74" s="205">
        <v>15300</v>
      </c>
      <c r="E74" s="205"/>
      <c r="F74" s="205"/>
    </row>
    <row r="75" spans="1:6" ht="62.25">
      <c r="A75" s="206">
        <v>22090400</v>
      </c>
      <c r="B75" s="207" t="s">
        <v>628</v>
      </c>
      <c r="C75" s="205">
        <f t="shared" si="0"/>
        <v>54000</v>
      </c>
      <c r="D75" s="205">
        <v>54000</v>
      </c>
      <c r="E75" s="205"/>
      <c r="F75" s="205"/>
    </row>
    <row r="76" spans="1:6" ht="124.5">
      <c r="A76" s="206">
        <v>22130000</v>
      </c>
      <c r="B76" s="207" t="s">
        <v>629</v>
      </c>
      <c r="C76" s="205">
        <f t="shared" si="0"/>
        <v>2000</v>
      </c>
      <c r="D76" s="205">
        <v>2000</v>
      </c>
      <c r="E76" s="205"/>
      <c r="F76" s="205"/>
    </row>
    <row r="77" spans="1:8" ht="15">
      <c r="A77" s="206">
        <v>24000000</v>
      </c>
      <c r="B77" s="207" t="s">
        <v>630</v>
      </c>
      <c r="C77" s="205">
        <f t="shared" si="0"/>
        <v>434051</v>
      </c>
      <c r="D77" s="205">
        <f>D78+D79+D83+D85</f>
        <v>232039</v>
      </c>
      <c r="E77" s="205">
        <f>E78+E79+E83+E85</f>
        <v>202012</v>
      </c>
      <c r="F77" s="205">
        <f>F78+F79+F83+F85</f>
        <v>150012</v>
      </c>
      <c r="H77" s="208"/>
    </row>
    <row r="78" spans="1:6" ht="62.25">
      <c r="A78" s="206">
        <v>24030000</v>
      </c>
      <c r="B78" s="207" t="s">
        <v>631</v>
      </c>
      <c r="C78" s="205">
        <f t="shared" si="0"/>
        <v>24200</v>
      </c>
      <c r="D78" s="205">
        <v>24200</v>
      </c>
      <c r="E78" s="205"/>
      <c r="F78" s="205"/>
    </row>
    <row r="79" spans="1:6" ht="15">
      <c r="A79" s="206">
        <v>24060000</v>
      </c>
      <c r="B79" s="207" t="s">
        <v>615</v>
      </c>
      <c r="C79" s="205">
        <f t="shared" si="0"/>
        <v>259839</v>
      </c>
      <c r="D79" s="205">
        <f>SUM(D80:D82)</f>
        <v>207839</v>
      </c>
      <c r="E79" s="205">
        <f>SUM(E80:E82)</f>
        <v>52000</v>
      </c>
      <c r="F79" s="205"/>
    </row>
    <row r="80" spans="1:6" ht="15">
      <c r="A80" s="206">
        <v>24060300</v>
      </c>
      <c r="B80" s="207" t="s">
        <v>615</v>
      </c>
      <c r="C80" s="205">
        <f t="shared" si="0"/>
        <v>207839</v>
      </c>
      <c r="D80" s="205">
        <f>111700+96139</f>
        <v>207839</v>
      </c>
      <c r="E80" s="205"/>
      <c r="F80" s="205"/>
    </row>
    <row r="81" spans="1:6" ht="30.75">
      <c r="A81" s="206">
        <v>24061600</v>
      </c>
      <c r="B81" s="207" t="s">
        <v>632</v>
      </c>
      <c r="C81" s="205">
        <f t="shared" si="0"/>
        <v>37000</v>
      </c>
      <c r="D81" s="205"/>
      <c r="E81" s="205">
        <v>37000</v>
      </c>
      <c r="F81" s="205"/>
    </row>
    <row r="82" spans="1:6" ht="78">
      <c r="A82" s="206">
        <v>24062100</v>
      </c>
      <c r="B82" s="207" t="s">
        <v>633</v>
      </c>
      <c r="C82" s="205">
        <f t="shared" si="0"/>
        <v>15000</v>
      </c>
      <c r="D82" s="205"/>
      <c r="E82" s="205">
        <v>15000</v>
      </c>
      <c r="F82" s="205"/>
    </row>
    <row r="83" spans="1:6" ht="30.75">
      <c r="A83" s="206">
        <v>24110000</v>
      </c>
      <c r="B83" s="207" t="s">
        <v>634</v>
      </c>
      <c r="C83" s="205">
        <f t="shared" si="0"/>
        <v>12</v>
      </c>
      <c r="D83" s="205"/>
      <c r="E83" s="205">
        <f>E84</f>
        <v>12</v>
      </c>
      <c r="F83" s="205">
        <f>F84</f>
        <v>12</v>
      </c>
    </row>
    <row r="84" spans="1:6" ht="46.5">
      <c r="A84" s="206">
        <v>24110700</v>
      </c>
      <c r="B84" s="207" t="s">
        <v>635</v>
      </c>
      <c r="C84" s="205">
        <f t="shared" si="0"/>
        <v>12</v>
      </c>
      <c r="D84" s="205"/>
      <c r="E84" s="205">
        <f>F84</f>
        <v>12</v>
      </c>
      <c r="F84" s="205">
        <v>12</v>
      </c>
    </row>
    <row r="85" spans="1:6" ht="46.5">
      <c r="A85" s="206">
        <v>24170000</v>
      </c>
      <c r="B85" s="207" t="s">
        <v>636</v>
      </c>
      <c r="C85" s="205">
        <f t="shared" si="0"/>
        <v>150000</v>
      </c>
      <c r="D85" s="205"/>
      <c r="E85" s="205">
        <f>F85</f>
        <v>150000</v>
      </c>
      <c r="F85" s="205">
        <v>150000</v>
      </c>
    </row>
    <row r="86" spans="1:6" ht="15">
      <c r="A86" s="206">
        <v>25000000</v>
      </c>
      <c r="B86" s="207" t="s">
        <v>637</v>
      </c>
      <c r="C86" s="205">
        <f t="shared" si="0"/>
        <v>9403011</v>
      </c>
      <c r="D86" s="205"/>
      <c r="E86" s="205">
        <f>E87</f>
        <v>9403011</v>
      </c>
      <c r="F86" s="205"/>
    </row>
    <row r="87" spans="1:6" ht="46.5">
      <c r="A87" s="206">
        <v>25010000</v>
      </c>
      <c r="B87" s="207" t="s">
        <v>638</v>
      </c>
      <c r="C87" s="205">
        <f t="shared" si="0"/>
        <v>9403011</v>
      </c>
      <c r="D87" s="205"/>
      <c r="E87" s="205">
        <f>SUM(E88:E90)</f>
        <v>9403011</v>
      </c>
      <c r="F87" s="205"/>
    </row>
    <row r="88" spans="1:6" ht="46.5">
      <c r="A88" s="206">
        <v>25010100</v>
      </c>
      <c r="B88" s="207" t="s">
        <v>639</v>
      </c>
      <c r="C88" s="205">
        <f t="shared" si="0"/>
        <v>9293463</v>
      </c>
      <c r="D88" s="205"/>
      <c r="E88" s="205">
        <f>8855553+437910</f>
        <v>9293463</v>
      </c>
      <c r="F88" s="205"/>
    </row>
    <row r="89" spans="1:6" ht="62.25">
      <c r="A89" s="206">
        <v>25010300</v>
      </c>
      <c r="B89" s="207" t="s">
        <v>640</v>
      </c>
      <c r="C89" s="205">
        <f t="shared" si="0"/>
        <v>107748</v>
      </c>
      <c r="D89" s="205"/>
      <c r="E89" s="205">
        <f>86748+21000</f>
        <v>107748</v>
      </c>
      <c r="F89" s="205"/>
    </row>
    <row r="90" spans="1:6" ht="46.5">
      <c r="A90" s="206">
        <v>25010400</v>
      </c>
      <c r="B90" s="207" t="s">
        <v>641</v>
      </c>
      <c r="C90" s="205">
        <f t="shared" si="0"/>
        <v>1800</v>
      </c>
      <c r="D90" s="205"/>
      <c r="E90" s="205">
        <v>1800</v>
      </c>
      <c r="F90" s="205"/>
    </row>
    <row r="91" spans="1:6" ht="15">
      <c r="A91" s="26">
        <v>30000000</v>
      </c>
      <c r="B91" s="204" t="s">
        <v>642</v>
      </c>
      <c r="C91" s="205">
        <f aca="true" t="shared" si="1" ref="C91:C117">D91+E91</f>
        <v>2744800</v>
      </c>
      <c r="D91" s="205">
        <f>D92+D97</f>
        <v>5800</v>
      </c>
      <c r="E91" s="205">
        <f>E92+E97</f>
        <v>2739000</v>
      </c>
      <c r="F91" s="205">
        <f>F92+F97</f>
        <v>2739000</v>
      </c>
    </row>
    <row r="92" spans="1:6" ht="30.75">
      <c r="A92" s="206">
        <v>31000000</v>
      </c>
      <c r="B92" s="207" t="s">
        <v>643</v>
      </c>
      <c r="C92" s="205">
        <f t="shared" si="1"/>
        <v>644800</v>
      </c>
      <c r="D92" s="205">
        <f>D93+D95+D96</f>
        <v>5800</v>
      </c>
      <c r="E92" s="205">
        <f>E93+E95+E96</f>
        <v>639000</v>
      </c>
      <c r="F92" s="205">
        <f>F93+F95+F96</f>
        <v>639000</v>
      </c>
    </row>
    <row r="93" spans="1:8" ht="135" customHeight="1">
      <c r="A93" s="206">
        <v>31010000</v>
      </c>
      <c r="B93" s="207" t="s">
        <v>644</v>
      </c>
      <c r="C93" s="205">
        <f t="shared" si="1"/>
        <v>4100</v>
      </c>
      <c r="D93" s="205">
        <f>D94+D96</f>
        <v>4100</v>
      </c>
      <c r="E93" s="205"/>
      <c r="F93" s="205"/>
      <c r="H93" s="208"/>
    </row>
    <row r="94" spans="1:6" ht="118.5" customHeight="1">
      <c r="A94" s="206">
        <v>31010200</v>
      </c>
      <c r="B94" s="207" t="s">
        <v>645</v>
      </c>
      <c r="C94" s="205">
        <f t="shared" si="1"/>
        <v>4100</v>
      </c>
      <c r="D94" s="205">
        <v>4100</v>
      </c>
      <c r="E94" s="205"/>
      <c r="F94" s="205"/>
    </row>
    <row r="95" spans="1:6" ht="62.25" customHeight="1">
      <c r="A95" s="206">
        <v>31020000</v>
      </c>
      <c r="B95" s="207" t="s">
        <v>646</v>
      </c>
      <c r="C95" s="205">
        <f t="shared" si="1"/>
        <v>1700</v>
      </c>
      <c r="D95" s="205">
        <v>1700</v>
      </c>
      <c r="E95" s="205"/>
      <c r="F95" s="205"/>
    </row>
    <row r="96" spans="1:6" ht="72.75" customHeight="1">
      <c r="A96" s="206">
        <v>31030000</v>
      </c>
      <c r="B96" s="207" t="s">
        <v>647</v>
      </c>
      <c r="C96" s="205">
        <f t="shared" si="1"/>
        <v>639000</v>
      </c>
      <c r="D96" s="205"/>
      <c r="E96" s="205">
        <f>F96</f>
        <v>639000</v>
      </c>
      <c r="F96" s="205">
        <v>639000</v>
      </c>
    </row>
    <row r="97" spans="1:6" ht="41.25" customHeight="1">
      <c r="A97" s="206">
        <v>33000000</v>
      </c>
      <c r="B97" s="207" t="s">
        <v>648</v>
      </c>
      <c r="C97" s="205">
        <f t="shared" si="1"/>
        <v>2100000</v>
      </c>
      <c r="D97" s="205"/>
      <c r="E97" s="205">
        <f>E98</f>
        <v>2100000</v>
      </c>
      <c r="F97" s="205">
        <f>F98</f>
        <v>2100000</v>
      </c>
    </row>
    <row r="98" spans="1:6" ht="15">
      <c r="A98" s="206">
        <v>33010000</v>
      </c>
      <c r="B98" s="207" t="s">
        <v>649</v>
      </c>
      <c r="C98" s="205">
        <f t="shared" si="1"/>
        <v>2100000</v>
      </c>
      <c r="D98" s="205"/>
      <c r="E98" s="205">
        <f>E99</f>
        <v>2100000</v>
      </c>
      <c r="F98" s="205">
        <f>F99</f>
        <v>2100000</v>
      </c>
    </row>
    <row r="99" spans="1:6" ht="93">
      <c r="A99" s="206">
        <v>33010100</v>
      </c>
      <c r="B99" s="207" t="s">
        <v>650</v>
      </c>
      <c r="C99" s="205">
        <f t="shared" si="1"/>
        <v>2100000</v>
      </c>
      <c r="D99" s="205"/>
      <c r="E99" s="205">
        <f>F99</f>
        <v>2100000</v>
      </c>
      <c r="F99" s="205">
        <v>2100000</v>
      </c>
    </row>
    <row r="100" spans="1:6" ht="37.5" customHeight="1">
      <c r="A100" s="26"/>
      <c r="B100" s="213" t="s">
        <v>651</v>
      </c>
      <c r="C100" s="214">
        <f t="shared" si="1"/>
        <v>375701635</v>
      </c>
      <c r="D100" s="214">
        <f>D16+D58+D91</f>
        <v>363197612</v>
      </c>
      <c r="E100" s="214">
        <f>E16+E58+E91</f>
        <v>12504023</v>
      </c>
      <c r="F100" s="214">
        <f>F16+F58+F91</f>
        <v>2889012</v>
      </c>
    </row>
    <row r="101" spans="1:6" ht="21" customHeight="1">
      <c r="A101" s="26">
        <v>40000000</v>
      </c>
      <c r="B101" s="204" t="s">
        <v>652</v>
      </c>
      <c r="C101" s="205">
        <f t="shared" si="1"/>
        <v>150802880</v>
      </c>
      <c r="D101" s="205">
        <f>D102</f>
        <v>150802880</v>
      </c>
      <c r="E101" s="205"/>
      <c r="F101" s="205"/>
    </row>
    <row r="102" spans="1:6" ht="21" customHeight="1">
      <c r="A102" s="206">
        <v>41000000</v>
      </c>
      <c r="B102" s="207" t="s">
        <v>653</v>
      </c>
      <c r="C102" s="205">
        <f t="shared" si="1"/>
        <v>150802880</v>
      </c>
      <c r="D102" s="205">
        <f>D103+D105+D108+D110</f>
        <v>150802880</v>
      </c>
      <c r="E102" s="205"/>
      <c r="F102" s="205"/>
    </row>
    <row r="103" spans="1:6" ht="39" customHeight="1">
      <c r="A103" s="206">
        <v>41020000</v>
      </c>
      <c r="B103" s="207" t="s">
        <v>654</v>
      </c>
      <c r="C103" s="205">
        <f t="shared" si="1"/>
        <v>15385300</v>
      </c>
      <c r="D103" s="205">
        <f>D104</f>
        <v>15385300</v>
      </c>
      <c r="E103" s="205"/>
      <c r="F103" s="205"/>
    </row>
    <row r="104" spans="1:6" ht="21.75" customHeight="1">
      <c r="A104" s="206">
        <v>41020100</v>
      </c>
      <c r="B104" s="207" t="s">
        <v>655</v>
      </c>
      <c r="C104" s="205">
        <f t="shared" si="1"/>
        <v>15385300</v>
      </c>
      <c r="D104" s="205">
        <v>15385300</v>
      </c>
      <c r="E104" s="205"/>
      <c r="F104" s="205"/>
    </row>
    <row r="105" spans="1:6" ht="37.5" customHeight="1">
      <c r="A105" s="206">
        <v>41030000</v>
      </c>
      <c r="B105" s="207" t="s">
        <v>656</v>
      </c>
      <c r="C105" s="205">
        <f t="shared" si="1"/>
        <v>127822400</v>
      </c>
      <c r="D105" s="205">
        <f>D106+D107</f>
        <v>127822400</v>
      </c>
      <c r="E105" s="205"/>
      <c r="F105" s="205"/>
    </row>
    <row r="106" spans="1:6" ht="41.25" customHeight="1">
      <c r="A106" s="206">
        <v>41033900</v>
      </c>
      <c r="B106" s="27" t="s">
        <v>657</v>
      </c>
      <c r="C106" s="205">
        <f t="shared" si="1"/>
        <v>114030000</v>
      </c>
      <c r="D106" s="205">
        <f>94732600+19297400</f>
        <v>114030000</v>
      </c>
      <c r="E106" s="205"/>
      <c r="F106" s="205"/>
    </row>
    <row r="107" spans="1:6" ht="33.75" customHeight="1">
      <c r="A107" s="206">
        <v>41034200</v>
      </c>
      <c r="B107" s="27" t="s">
        <v>658</v>
      </c>
      <c r="C107" s="205">
        <f t="shared" si="1"/>
        <v>13792400</v>
      </c>
      <c r="D107" s="205">
        <v>13792400</v>
      </c>
      <c r="E107" s="205"/>
      <c r="F107" s="205"/>
    </row>
    <row r="108" spans="1:6" ht="41.25" customHeight="1">
      <c r="A108" s="206">
        <v>41040000</v>
      </c>
      <c r="B108" s="27" t="s">
        <v>659</v>
      </c>
      <c r="C108" s="205">
        <f t="shared" si="1"/>
        <v>1256800</v>
      </c>
      <c r="D108" s="205">
        <f>D109</f>
        <v>1256800</v>
      </c>
      <c r="E108" s="205"/>
      <c r="F108" s="205"/>
    </row>
    <row r="109" spans="1:6" ht="100.5" customHeight="1">
      <c r="A109" s="206">
        <v>41040200</v>
      </c>
      <c r="B109" s="27" t="s">
        <v>324</v>
      </c>
      <c r="C109" s="205">
        <f t="shared" si="1"/>
        <v>1256800</v>
      </c>
      <c r="D109" s="205">
        <v>1256800</v>
      </c>
      <c r="E109" s="205"/>
      <c r="F109" s="205"/>
    </row>
    <row r="110" spans="1:9" ht="37.5" customHeight="1">
      <c r="A110" s="206">
        <v>41050000</v>
      </c>
      <c r="B110" s="27" t="s">
        <v>660</v>
      </c>
      <c r="C110" s="205">
        <f t="shared" si="1"/>
        <v>6338380</v>
      </c>
      <c r="D110" s="205">
        <f>SUM(D111:D117)</f>
        <v>6338380</v>
      </c>
      <c r="E110" s="205"/>
      <c r="F110" s="205"/>
      <c r="H110" s="208">
        <f>D109+D110</f>
        <v>7595180</v>
      </c>
      <c r="I110" s="215"/>
    </row>
    <row r="111" spans="1:6" ht="69" customHeight="1">
      <c r="A111" s="206">
        <v>41051000</v>
      </c>
      <c r="B111" s="27" t="s">
        <v>325</v>
      </c>
      <c r="C111" s="205">
        <f t="shared" si="1"/>
        <v>844767</v>
      </c>
      <c r="D111" s="205">
        <v>844767</v>
      </c>
      <c r="E111" s="205"/>
      <c r="F111" s="205"/>
    </row>
    <row r="112" spans="1:6" ht="69" customHeight="1">
      <c r="A112" s="206">
        <v>41051100</v>
      </c>
      <c r="B112" s="27" t="s">
        <v>661</v>
      </c>
      <c r="C112" s="205">
        <f t="shared" si="1"/>
        <v>812944</v>
      </c>
      <c r="D112" s="205">
        <f>243600+569344</f>
        <v>812944</v>
      </c>
      <c r="E112" s="205"/>
      <c r="F112" s="205"/>
    </row>
    <row r="113" spans="1:6" ht="88.5" customHeight="1">
      <c r="A113" s="206">
        <v>41051200</v>
      </c>
      <c r="B113" s="27" t="s">
        <v>662</v>
      </c>
      <c r="C113" s="205">
        <f t="shared" si="1"/>
        <v>468567</v>
      </c>
      <c r="D113" s="205">
        <f>279900+233250-44583</f>
        <v>468567</v>
      </c>
      <c r="E113" s="205"/>
      <c r="F113" s="205"/>
    </row>
    <row r="114" spans="1:6" ht="93">
      <c r="A114" s="206">
        <v>41051400</v>
      </c>
      <c r="B114" s="27" t="s">
        <v>141</v>
      </c>
      <c r="C114" s="205">
        <f t="shared" si="1"/>
        <v>1730302</v>
      </c>
      <c r="D114" s="205">
        <f>2056740+2418-328856</f>
        <v>1730302</v>
      </c>
      <c r="E114" s="205"/>
      <c r="F114" s="205"/>
    </row>
    <row r="115" spans="1:6" ht="69" customHeight="1">
      <c r="A115" s="206">
        <v>41051500</v>
      </c>
      <c r="B115" s="27" t="s">
        <v>663</v>
      </c>
      <c r="C115" s="205">
        <f t="shared" si="1"/>
        <v>432000</v>
      </c>
      <c r="D115" s="205">
        <v>432000</v>
      </c>
      <c r="E115" s="205"/>
      <c r="F115" s="205"/>
    </row>
    <row r="116" spans="1:6" ht="21.75" customHeight="1">
      <c r="A116" s="206">
        <v>41053900</v>
      </c>
      <c r="B116" s="27" t="s">
        <v>664</v>
      </c>
      <c r="C116" s="205">
        <f t="shared" si="1"/>
        <v>647000</v>
      </c>
      <c r="D116" s="205">
        <f>147000+500000</f>
        <v>647000</v>
      </c>
      <c r="E116" s="205"/>
      <c r="F116" s="205"/>
    </row>
    <row r="117" spans="1:6" ht="78">
      <c r="A117" s="206">
        <v>41055000</v>
      </c>
      <c r="B117" s="27" t="s">
        <v>665</v>
      </c>
      <c r="C117" s="205">
        <f t="shared" si="1"/>
        <v>1402800</v>
      </c>
      <c r="D117" s="205">
        <v>1402800</v>
      </c>
      <c r="E117" s="205"/>
      <c r="F117" s="205"/>
    </row>
    <row r="118" spans="1:6" ht="17.25">
      <c r="A118" s="216" t="s">
        <v>401</v>
      </c>
      <c r="B118" s="217" t="s">
        <v>666</v>
      </c>
      <c r="C118" s="218">
        <f>D118+E118</f>
        <v>526504515</v>
      </c>
      <c r="D118" s="218">
        <f>D100+D101</f>
        <v>514000492</v>
      </c>
      <c r="E118" s="218">
        <f>E100+E101</f>
        <v>12504023</v>
      </c>
      <c r="F118" s="218">
        <f>F100+F101</f>
        <v>2889012</v>
      </c>
    </row>
    <row r="123" spans="2:6" ht="15">
      <c r="B123" s="19"/>
      <c r="C123" s="19"/>
      <c r="D123" s="19"/>
      <c r="E123" s="19"/>
      <c r="F123" s="19"/>
    </row>
    <row r="124" spans="1:5" ht="18">
      <c r="A124" s="30" t="s">
        <v>705</v>
      </c>
      <c r="B124" s="30"/>
      <c r="C124" s="30"/>
      <c r="D124" s="31"/>
      <c r="E124" s="30" t="s">
        <v>706</v>
      </c>
    </row>
  </sheetData>
  <sheetProtection/>
  <mergeCells count="8">
    <mergeCell ref="A1:A6"/>
    <mergeCell ref="D5:F5"/>
    <mergeCell ref="B8:E8"/>
    <mergeCell ref="A13:A14"/>
    <mergeCell ref="B13:B14"/>
    <mergeCell ref="C13:C14"/>
    <mergeCell ref="D13:D14"/>
    <mergeCell ref="E13:F13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13.50390625" style="0" customWidth="1"/>
    <col min="2" max="2" width="51.50390625" style="0" customWidth="1"/>
    <col min="3" max="3" width="11.50390625" style="0" customWidth="1"/>
    <col min="4" max="4" width="17.125" style="0" customWidth="1"/>
    <col min="5" max="5" width="17.50390625" style="0" customWidth="1"/>
    <col min="6" max="6" width="17.625" style="0" customWidth="1"/>
  </cols>
  <sheetData>
    <row r="1" ht="13.5">
      <c r="E1" s="4" t="s">
        <v>400</v>
      </c>
    </row>
    <row r="2" spans="5:7" ht="13.5">
      <c r="E2" s="52" t="s">
        <v>707</v>
      </c>
      <c r="G2" s="2"/>
    </row>
    <row r="3" ht="13.5">
      <c r="E3" s="4" t="s">
        <v>704</v>
      </c>
    </row>
    <row r="4" ht="13.5">
      <c r="E4" s="4" t="s">
        <v>709</v>
      </c>
    </row>
    <row r="5" ht="13.5">
      <c r="F5" s="51"/>
    </row>
    <row r="7" spans="1:6" ht="17.25">
      <c r="A7" s="264" t="s">
        <v>351</v>
      </c>
      <c r="B7" s="264"/>
      <c r="C7" s="264"/>
      <c r="D7" s="264"/>
      <c r="E7" s="264"/>
      <c r="F7" s="264"/>
    </row>
    <row r="8" spans="1:6" ht="15">
      <c r="A8" s="16"/>
      <c r="B8" s="16"/>
      <c r="C8" s="16"/>
      <c r="D8" s="16"/>
      <c r="E8" s="16"/>
      <c r="F8" s="16"/>
    </row>
    <row r="9" spans="1:6" ht="15">
      <c r="A9" s="104" t="s">
        <v>0</v>
      </c>
      <c r="B9" s="16"/>
      <c r="C9" s="16"/>
      <c r="D9" s="16"/>
      <c r="E9" s="16"/>
      <c r="F9" s="16"/>
    </row>
    <row r="10" ht="12.75">
      <c r="A10" s="1" t="s">
        <v>25</v>
      </c>
    </row>
    <row r="11" spans="1:6" ht="12.75">
      <c r="A11" s="5"/>
      <c r="F11" s="6" t="s">
        <v>5</v>
      </c>
    </row>
    <row r="12" ht="13.5" thickBot="1"/>
    <row r="13" spans="1:6" ht="26.25" customHeight="1" thickBot="1">
      <c r="A13" s="265" t="s">
        <v>6</v>
      </c>
      <c r="B13" s="265" t="s">
        <v>26</v>
      </c>
      <c r="C13" s="265" t="s">
        <v>7</v>
      </c>
      <c r="D13" s="265" t="s">
        <v>8</v>
      </c>
      <c r="E13" s="270" t="s">
        <v>9</v>
      </c>
      <c r="F13" s="271"/>
    </row>
    <row r="14" spans="1:6" ht="39" customHeight="1" thickBot="1">
      <c r="A14" s="266"/>
      <c r="B14" s="266"/>
      <c r="C14" s="266"/>
      <c r="D14" s="266"/>
      <c r="E14" s="3" t="s">
        <v>10</v>
      </c>
      <c r="F14" s="3" t="s">
        <v>11</v>
      </c>
    </row>
    <row r="15" spans="1:6" ht="15.75" thickBot="1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</row>
    <row r="16" spans="1:6" ht="16.5" customHeight="1">
      <c r="A16" s="272" t="s">
        <v>12</v>
      </c>
      <c r="B16" s="273"/>
      <c r="C16" s="274"/>
      <c r="D16" s="274"/>
      <c r="E16" s="274"/>
      <c r="F16" s="275"/>
    </row>
    <row r="17" spans="1:6" ht="15">
      <c r="A17" s="18">
        <v>200000</v>
      </c>
      <c r="B17" s="19" t="s">
        <v>319</v>
      </c>
      <c r="C17" s="22">
        <f>D17+E17</f>
        <v>24699698</v>
      </c>
      <c r="D17" s="37">
        <f>D18</f>
        <v>-21899710</v>
      </c>
      <c r="E17" s="37">
        <f>E18</f>
        <v>46599408</v>
      </c>
      <c r="F17" s="37">
        <f>F18</f>
        <v>45885450</v>
      </c>
    </row>
    <row r="18" spans="1:6" ht="30.75">
      <c r="A18" s="20">
        <v>208000</v>
      </c>
      <c r="B18" s="21" t="s">
        <v>320</v>
      </c>
      <c r="C18" s="22">
        <f>D18+E18</f>
        <v>24699698</v>
      </c>
      <c r="D18" s="38">
        <f>D20+D19</f>
        <v>-21899710</v>
      </c>
      <c r="E18" s="38">
        <f>E20+E19</f>
        <v>46599408</v>
      </c>
      <c r="F18" s="38">
        <f>F20+F19</f>
        <v>45885450</v>
      </c>
    </row>
    <row r="19" spans="1:6" ht="15">
      <c r="A19" s="20">
        <v>208100</v>
      </c>
      <c r="B19" s="21" t="s">
        <v>397</v>
      </c>
      <c r="C19" s="22">
        <f>D19+E19</f>
        <v>24699698</v>
      </c>
      <c r="D19" s="38">
        <f>16262108+2345200+654823+2775</f>
        <v>19264906</v>
      </c>
      <c r="E19" s="38">
        <v>5434792</v>
      </c>
      <c r="F19" s="38">
        <v>4720834</v>
      </c>
    </row>
    <row r="20" spans="1:6" ht="30.75" customHeight="1">
      <c r="A20" s="20">
        <v>208400</v>
      </c>
      <c r="B20" s="21" t="s">
        <v>321</v>
      </c>
      <c r="C20" s="22"/>
      <c r="D20" s="38">
        <f>-35917919-9547267-945200-640437-15300+5204771-40000-18846+797713+748994-791125</f>
        <v>-41164616</v>
      </c>
      <c r="E20" s="38">
        <f>F20</f>
        <v>41164616</v>
      </c>
      <c r="F20" s="38">
        <f>35917919+9547267+945200+640437+15300-5204771+40000+18846-797713-748994+791125</f>
        <v>41164616</v>
      </c>
    </row>
    <row r="21" spans="1:6" ht="16.5" customHeight="1">
      <c r="A21" s="23" t="s">
        <v>24</v>
      </c>
      <c r="B21" s="24" t="s">
        <v>13</v>
      </c>
      <c r="C21" s="25">
        <f>D21+E21</f>
        <v>24699698</v>
      </c>
      <c r="D21" s="39">
        <f>D17</f>
        <v>-21899710</v>
      </c>
      <c r="E21" s="39">
        <f>E17</f>
        <v>46599408</v>
      </c>
      <c r="F21" s="39">
        <f>F17</f>
        <v>45885450</v>
      </c>
    </row>
    <row r="22" spans="1:6" ht="13.5">
      <c r="A22" s="267" t="s">
        <v>322</v>
      </c>
      <c r="B22" s="268"/>
      <c r="C22" s="268"/>
      <c r="D22" s="268"/>
      <c r="E22" s="268"/>
      <c r="F22" s="269"/>
    </row>
    <row r="23" spans="1:6" ht="15">
      <c r="A23" s="20">
        <v>600000</v>
      </c>
      <c r="B23" s="21" t="s">
        <v>14</v>
      </c>
      <c r="C23" s="22">
        <f>D23+E23</f>
        <v>24699698</v>
      </c>
      <c r="D23" s="37">
        <f>D24</f>
        <v>-21899710</v>
      </c>
      <c r="E23" s="37">
        <f>E24</f>
        <v>46599408</v>
      </c>
      <c r="F23" s="37">
        <f>F24</f>
        <v>45885450</v>
      </c>
    </row>
    <row r="24" spans="1:6" ht="15">
      <c r="A24" s="20">
        <v>602000</v>
      </c>
      <c r="B24" s="21" t="s">
        <v>323</v>
      </c>
      <c r="C24" s="22">
        <f>D24+E24</f>
        <v>24699698</v>
      </c>
      <c r="D24" s="38">
        <f>D26+D25</f>
        <v>-21899710</v>
      </c>
      <c r="E24" s="38">
        <f>E26+E25</f>
        <v>46599408</v>
      </c>
      <c r="F24" s="38">
        <f>F26+F25</f>
        <v>45885450</v>
      </c>
    </row>
    <row r="25" spans="1:6" ht="15">
      <c r="A25" s="20">
        <v>602100</v>
      </c>
      <c r="B25" s="21" t="s">
        <v>397</v>
      </c>
      <c r="C25" s="22">
        <f>D25+E25</f>
        <v>24699698</v>
      </c>
      <c r="D25" s="38">
        <f>16262108+2345200+654823+2775</f>
        <v>19264906</v>
      </c>
      <c r="E25" s="38">
        <v>5434792</v>
      </c>
      <c r="F25" s="38">
        <v>4720834</v>
      </c>
    </row>
    <row r="26" spans="1:6" ht="30" customHeight="1">
      <c r="A26" s="20">
        <v>602400</v>
      </c>
      <c r="B26" s="21" t="s">
        <v>321</v>
      </c>
      <c r="C26" s="22"/>
      <c r="D26" s="38">
        <f>-35917919-9547267-945200-640437-15300+5204771-40000-18846+797713+748994-791125</f>
        <v>-41164616</v>
      </c>
      <c r="E26" s="38">
        <f>F26</f>
        <v>41164616</v>
      </c>
      <c r="F26" s="38">
        <f>35917919+9547267+945200+640437+15300-5204771+40000+18846-797713-748994+791125</f>
        <v>41164616</v>
      </c>
    </row>
    <row r="27" spans="1:6" ht="15">
      <c r="A27" s="23" t="s">
        <v>24</v>
      </c>
      <c r="B27" s="24" t="s">
        <v>13</v>
      </c>
      <c r="C27" s="25">
        <f>D27+E27</f>
        <v>24699698</v>
      </c>
      <c r="D27" s="39">
        <f>D23</f>
        <v>-21899710</v>
      </c>
      <c r="E27" s="39">
        <f>E23</f>
        <v>46599408</v>
      </c>
      <c r="F27" s="39">
        <f>F23</f>
        <v>45885450</v>
      </c>
    </row>
    <row r="31" spans="1:5" ht="18">
      <c r="A31" s="30" t="s">
        <v>705</v>
      </c>
      <c r="B31" s="30"/>
      <c r="C31" s="30"/>
      <c r="D31" s="31"/>
      <c r="E31" s="30" t="s">
        <v>706</v>
      </c>
    </row>
  </sheetData>
  <sheetProtection/>
  <mergeCells count="8">
    <mergeCell ref="A7:F7"/>
    <mergeCell ref="B13:B14"/>
    <mergeCell ref="A22:F22"/>
    <mergeCell ref="E13:F13"/>
    <mergeCell ref="A16:F16"/>
    <mergeCell ref="A13:A14"/>
    <mergeCell ref="C13:C14"/>
    <mergeCell ref="D13:D14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10"/>
  <sheetViews>
    <sheetView showZeros="0" showOutlineSymbols="0" zoomScale="70" zoomScaleNormal="70" zoomScalePageLayoutView="0" workbookViewId="0" topLeftCell="J2">
      <selection activeCell="O5" sqref="O5"/>
    </sheetView>
  </sheetViews>
  <sheetFormatPr defaultColWidth="9.125" defaultRowHeight="12.75"/>
  <cols>
    <col min="1" max="1" width="17.625" style="8" customWidth="1"/>
    <col min="2" max="2" width="18.125" style="8" customWidth="1"/>
    <col min="3" max="3" width="15.375" style="8" customWidth="1"/>
    <col min="4" max="4" width="46.00390625" style="8" customWidth="1"/>
    <col min="5" max="5" width="32.50390625" style="10" bestFit="1" customWidth="1"/>
    <col min="6" max="6" width="29.375" style="10" customWidth="1"/>
    <col min="7" max="7" width="32.50390625" style="10" bestFit="1" customWidth="1"/>
    <col min="8" max="8" width="30.625" style="10" bestFit="1" customWidth="1"/>
    <col min="9" max="9" width="14.875" style="10" customWidth="1"/>
    <col min="10" max="10" width="30.625" style="10" bestFit="1" customWidth="1"/>
    <col min="11" max="11" width="46.875" style="10" bestFit="1" customWidth="1"/>
    <col min="12" max="12" width="32.50390625" style="10" bestFit="1" customWidth="1"/>
    <col min="13" max="13" width="28.875" style="10" bestFit="1" customWidth="1"/>
    <col min="14" max="14" width="21.125" style="10" customWidth="1"/>
    <col min="15" max="15" width="27.50390625" style="10" bestFit="1" customWidth="1"/>
    <col min="16" max="16" width="32.50390625" style="10" bestFit="1" customWidth="1"/>
    <col min="17" max="16384" width="9.125" style="8" customWidth="1"/>
  </cols>
  <sheetData>
    <row r="1" ht="22.5" hidden="1"/>
    <row r="2" spans="1:16" ht="27.75">
      <c r="A2" s="276"/>
      <c r="B2" s="7"/>
      <c r="I2" s="11"/>
      <c r="K2" s="29"/>
      <c r="L2" s="29"/>
      <c r="M2" s="29"/>
      <c r="O2" s="44" t="s">
        <v>15</v>
      </c>
      <c r="P2" s="44"/>
    </row>
    <row r="3" spans="1:16" ht="27" customHeight="1">
      <c r="A3" s="276"/>
      <c r="B3" s="7"/>
      <c r="I3" s="11"/>
      <c r="K3" s="29"/>
      <c r="L3" s="29"/>
      <c r="M3" s="29"/>
      <c r="O3" s="44" t="s">
        <v>703</v>
      </c>
      <c r="P3" s="44"/>
    </row>
    <row r="4" spans="1:16" ht="27" customHeight="1">
      <c r="A4" s="276"/>
      <c r="B4" s="7"/>
      <c r="I4" s="11"/>
      <c r="K4" s="29"/>
      <c r="L4" s="29"/>
      <c r="M4" s="29"/>
      <c r="O4" s="45" t="s">
        <v>704</v>
      </c>
      <c r="P4" s="45"/>
    </row>
    <row r="5" spans="10:16" ht="27" customHeight="1">
      <c r="J5" s="8"/>
      <c r="K5" s="29"/>
      <c r="L5" s="29"/>
      <c r="M5" s="29"/>
      <c r="N5" s="8"/>
      <c r="O5" s="45" t="s">
        <v>710</v>
      </c>
      <c r="P5" s="45"/>
    </row>
    <row r="6" spans="10:16" ht="22.5" hidden="1">
      <c r="J6" s="4"/>
      <c r="K6" s="12"/>
      <c r="L6" s="12"/>
      <c r="M6" s="12"/>
      <c r="N6" s="12"/>
      <c r="O6" s="12"/>
      <c r="P6" s="12"/>
    </row>
    <row r="7" spans="10:16" ht="22.5">
      <c r="J7" s="4"/>
      <c r="K7" s="12"/>
      <c r="L7" s="12"/>
      <c r="M7" s="12"/>
      <c r="N7" s="12"/>
      <c r="O7" s="12"/>
      <c r="P7" s="12"/>
    </row>
    <row r="8" spans="1:16" s="30" customFormat="1" ht="27">
      <c r="A8" s="294" t="s">
        <v>352</v>
      </c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</row>
    <row r="9" spans="1:16" ht="21">
      <c r="A9" s="103">
        <v>21528000000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ht="16.5" customHeight="1">
      <c r="A10" s="9" t="s">
        <v>25</v>
      </c>
    </row>
    <row r="11" ht="22.5">
      <c r="P11" s="13" t="s">
        <v>5</v>
      </c>
    </row>
    <row r="12" spans="1:16" ht="71.25" customHeight="1">
      <c r="A12" s="277" t="s">
        <v>27</v>
      </c>
      <c r="B12" s="279" t="s">
        <v>28</v>
      </c>
      <c r="C12" s="279" t="s">
        <v>16</v>
      </c>
      <c r="D12" s="279" t="s">
        <v>29</v>
      </c>
      <c r="E12" s="287" t="s">
        <v>8</v>
      </c>
      <c r="F12" s="288"/>
      <c r="G12" s="288"/>
      <c r="H12" s="288"/>
      <c r="I12" s="289"/>
      <c r="J12" s="287" t="s">
        <v>9</v>
      </c>
      <c r="K12" s="288"/>
      <c r="L12" s="288"/>
      <c r="M12" s="288"/>
      <c r="N12" s="288"/>
      <c r="O12" s="289"/>
      <c r="P12" s="281" t="s">
        <v>17</v>
      </c>
    </row>
    <row r="13" spans="1:16" ht="13.5" thickBot="1">
      <c r="A13" s="278"/>
      <c r="B13" s="280"/>
      <c r="C13" s="280"/>
      <c r="D13" s="280"/>
      <c r="E13" s="290"/>
      <c r="F13" s="291"/>
      <c r="G13" s="291"/>
      <c r="H13" s="291"/>
      <c r="I13" s="292"/>
      <c r="J13" s="290"/>
      <c r="K13" s="291"/>
      <c r="L13" s="291"/>
      <c r="M13" s="291"/>
      <c r="N13" s="291"/>
      <c r="O13" s="292"/>
      <c r="P13" s="282"/>
    </row>
    <row r="14" spans="1:16" ht="36" customHeight="1" thickBot="1">
      <c r="A14" s="278"/>
      <c r="B14" s="280"/>
      <c r="C14" s="280"/>
      <c r="D14" s="280"/>
      <c r="E14" s="285" t="s">
        <v>10</v>
      </c>
      <c r="F14" s="285" t="s">
        <v>18</v>
      </c>
      <c r="G14" s="283" t="s">
        <v>19</v>
      </c>
      <c r="H14" s="284"/>
      <c r="I14" s="285" t="s">
        <v>20</v>
      </c>
      <c r="J14" s="285" t="s">
        <v>10</v>
      </c>
      <c r="K14" s="285" t="s">
        <v>11</v>
      </c>
      <c r="L14" s="285" t="s">
        <v>18</v>
      </c>
      <c r="M14" s="283" t="s">
        <v>19</v>
      </c>
      <c r="N14" s="284"/>
      <c r="O14" s="285" t="s">
        <v>20</v>
      </c>
      <c r="P14" s="282"/>
    </row>
    <row r="15" spans="1:16" ht="65.25" customHeight="1" thickBot="1">
      <c r="A15" s="278"/>
      <c r="B15" s="280"/>
      <c r="C15" s="280"/>
      <c r="D15" s="280"/>
      <c r="E15" s="286"/>
      <c r="F15" s="286"/>
      <c r="G15" s="53" t="s">
        <v>21</v>
      </c>
      <c r="H15" s="53" t="s">
        <v>22</v>
      </c>
      <c r="I15" s="286"/>
      <c r="J15" s="286"/>
      <c r="K15" s="286"/>
      <c r="L15" s="286"/>
      <c r="M15" s="53" t="s">
        <v>21</v>
      </c>
      <c r="N15" s="53" t="s">
        <v>22</v>
      </c>
      <c r="O15" s="286"/>
      <c r="P15" s="282"/>
    </row>
    <row r="16" spans="1:16" s="19" customFormat="1" ht="18" thickBot="1">
      <c r="A16" s="84">
        <v>1</v>
      </c>
      <c r="B16" s="85">
        <v>2</v>
      </c>
      <c r="C16" s="85">
        <v>3</v>
      </c>
      <c r="D16" s="85">
        <v>4</v>
      </c>
      <c r="E16" s="85">
        <v>5</v>
      </c>
      <c r="F16" s="85">
        <v>6</v>
      </c>
      <c r="G16" s="85">
        <v>7</v>
      </c>
      <c r="H16" s="85">
        <v>8</v>
      </c>
      <c r="I16" s="85">
        <v>9</v>
      </c>
      <c r="J16" s="85">
        <v>10</v>
      </c>
      <c r="K16" s="85">
        <v>11</v>
      </c>
      <c r="L16" s="85">
        <v>12</v>
      </c>
      <c r="M16" s="85">
        <v>13</v>
      </c>
      <c r="N16" s="85">
        <v>14</v>
      </c>
      <c r="O16" s="85">
        <v>15</v>
      </c>
      <c r="P16" s="86">
        <v>16</v>
      </c>
    </row>
    <row r="17" spans="1:16" s="15" customFormat="1" ht="72">
      <c r="A17" s="75" t="s">
        <v>30</v>
      </c>
      <c r="B17" s="75"/>
      <c r="C17" s="75"/>
      <c r="D17" s="54" t="s">
        <v>31</v>
      </c>
      <c r="E17" s="89">
        <f>E18</f>
        <v>120730139</v>
      </c>
      <c r="F17" s="89">
        <f aca="true" t="shared" si="0" ref="F17:O17">F18</f>
        <v>120730139</v>
      </c>
      <c r="G17" s="89">
        <f t="shared" si="0"/>
        <v>20659851</v>
      </c>
      <c r="H17" s="89">
        <f t="shared" si="0"/>
        <v>1035754</v>
      </c>
      <c r="I17" s="89">
        <f t="shared" si="0"/>
        <v>0</v>
      </c>
      <c r="J17" s="89">
        <f t="shared" si="0"/>
        <v>26749206</v>
      </c>
      <c r="K17" s="89">
        <f t="shared" si="0"/>
        <v>25759248</v>
      </c>
      <c r="L17" s="89">
        <f t="shared" si="0"/>
        <v>709958</v>
      </c>
      <c r="M17" s="89">
        <f t="shared" si="0"/>
        <v>18300</v>
      </c>
      <c r="N17" s="89">
        <f t="shared" si="0"/>
        <v>12590</v>
      </c>
      <c r="O17" s="89">
        <f t="shared" si="0"/>
        <v>26039248</v>
      </c>
      <c r="P17" s="89">
        <f>E17+J17</f>
        <v>147479345</v>
      </c>
    </row>
    <row r="18" spans="1:16" s="15" customFormat="1" ht="76.5" customHeight="1">
      <c r="A18" s="76" t="s">
        <v>32</v>
      </c>
      <c r="B18" s="76"/>
      <c r="C18" s="76"/>
      <c r="D18" s="55" t="s">
        <v>31</v>
      </c>
      <c r="E18" s="90">
        <f>E19+E23+E25+E32+E33+E34+E40+E41+E42+E43+E44+E45+E47+E48+E49+E50+E51+E52+E53+E54+E55+E56+E57+E59+E60+E61+E62+E63+E64+E65+E66+E58</f>
        <v>120730139</v>
      </c>
      <c r="F18" s="90">
        <f>F19+F23+F25+F32+F33+F34+F40+F41+F42+F43+F44+F45+F47+F48+F49+F50+F51+F52+F53+F54+F55+F56+F57+F59+F60+F61+F62+F63+F64+F65+F66+F58</f>
        <v>120730139</v>
      </c>
      <c r="G18" s="90">
        <f aca="true" t="shared" si="1" ref="G18:M18">G19+G23+G25+G32+G33+G34+G40+G41+G42+G43+G44+G45+G47+G48+G49+G50+G51+G52+G53+G54+G55+G56+G57+G59+G60+G61+G62+G63+G64+G65+G66+G58</f>
        <v>20659851</v>
      </c>
      <c r="H18" s="90">
        <f t="shared" si="1"/>
        <v>1035754</v>
      </c>
      <c r="I18" s="90">
        <f t="shared" si="1"/>
        <v>0</v>
      </c>
      <c r="J18" s="90">
        <f t="shared" si="1"/>
        <v>26749206</v>
      </c>
      <c r="K18" s="90">
        <f t="shared" si="1"/>
        <v>25759248</v>
      </c>
      <c r="L18" s="90">
        <f t="shared" si="1"/>
        <v>709958</v>
      </c>
      <c r="M18" s="90">
        <f t="shared" si="1"/>
        <v>18300</v>
      </c>
      <c r="N18" s="90">
        <f>N19+N23+N25+N32+N33+N34+N40+N41+N42+N43+N44+N45+N47+N48+N49+N50+N51+N52+N53+N54+N55+N56+N57+N59+N60+N61+N62+N63+N64+N65+N66+N58</f>
        <v>12590</v>
      </c>
      <c r="O18" s="90">
        <f>O19+O23+O25+O32+O33+O34+O40+O41+O42+O43+O44+O45+O47+O48+O49+O50+O51+O52+O53+O54+O55+O56+O57+O59+O60+O61+O62+O63+O64+O65+O66+O58</f>
        <v>26039248</v>
      </c>
      <c r="P18" s="90">
        <f aca="true" t="shared" si="2" ref="P18:P103">E18+J18</f>
        <v>147479345</v>
      </c>
    </row>
    <row r="19" spans="1:16" ht="230.25" customHeight="1">
      <c r="A19" s="77" t="s">
        <v>33</v>
      </c>
      <c r="B19" s="77" t="s">
        <v>34</v>
      </c>
      <c r="C19" s="77" t="s">
        <v>35</v>
      </c>
      <c r="D19" s="56" t="s">
        <v>36</v>
      </c>
      <c r="E19" s="91">
        <f>F19</f>
        <v>22939023</v>
      </c>
      <c r="F19" s="91">
        <f>F21+F22</f>
        <v>22939023</v>
      </c>
      <c r="G19" s="91">
        <f aca="true" t="shared" si="3" ref="G19:N19">G21+G22</f>
        <v>19954375</v>
      </c>
      <c r="H19" s="91">
        <f t="shared" si="3"/>
        <v>977510</v>
      </c>
      <c r="I19" s="91">
        <f t="shared" si="3"/>
        <v>0</v>
      </c>
      <c r="J19" s="91">
        <f>L19+O19</f>
        <v>198410</v>
      </c>
      <c r="K19" s="92">
        <f>K21+K22</f>
        <v>190410</v>
      </c>
      <c r="L19" s="91">
        <f t="shared" si="3"/>
        <v>8000</v>
      </c>
      <c r="M19" s="91">
        <f t="shared" si="3"/>
        <v>0</v>
      </c>
      <c r="N19" s="91">
        <f t="shared" si="3"/>
        <v>0</v>
      </c>
      <c r="O19" s="91">
        <f>K19</f>
        <v>190410</v>
      </c>
      <c r="P19" s="92">
        <f t="shared" si="2"/>
        <v>23137433</v>
      </c>
    </row>
    <row r="20" spans="1:16" ht="24">
      <c r="A20" s="77"/>
      <c r="B20" s="77"/>
      <c r="C20" s="77"/>
      <c r="D20" s="56" t="s">
        <v>37</v>
      </c>
      <c r="E20" s="92"/>
      <c r="F20" s="92"/>
      <c r="G20" s="92"/>
      <c r="H20" s="92"/>
      <c r="I20" s="92"/>
      <c r="J20" s="91">
        <f aca="true" t="shared" si="4" ref="J20:J106">L20+O20</f>
        <v>0</v>
      </c>
      <c r="K20" s="92"/>
      <c r="L20" s="92"/>
      <c r="M20" s="92"/>
      <c r="N20" s="92"/>
      <c r="O20" s="91">
        <f aca="true" t="shared" si="5" ref="O20:O106">K20</f>
        <v>0</v>
      </c>
      <c r="P20" s="92">
        <f t="shared" si="2"/>
        <v>0</v>
      </c>
    </row>
    <row r="21" spans="1:16" ht="73.5">
      <c r="A21" s="77"/>
      <c r="B21" s="77"/>
      <c r="C21" s="77"/>
      <c r="D21" s="57" t="s">
        <v>38</v>
      </c>
      <c r="E21" s="92">
        <f>F21</f>
        <v>20907806</v>
      </c>
      <c r="F21" s="92">
        <f>19539476+834905+198326+43515+157990+71594+62000</f>
        <v>20907806</v>
      </c>
      <c r="G21" s="92">
        <f>17654353+834905</f>
        <v>18489258</v>
      </c>
      <c r="H21" s="92">
        <v>710923</v>
      </c>
      <c r="I21" s="92"/>
      <c r="J21" s="91">
        <f t="shared" si="4"/>
        <v>190410</v>
      </c>
      <c r="K21" s="92">
        <f>180650+9760</f>
        <v>190410</v>
      </c>
      <c r="L21" s="92"/>
      <c r="M21" s="92"/>
      <c r="N21" s="92"/>
      <c r="O21" s="91">
        <f t="shared" si="5"/>
        <v>190410</v>
      </c>
      <c r="P21" s="92">
        <f t="shared" si="2"/>
        <v>21098216</v>
      </c>
    </row>
    <row r="22" spans="1:16" ht="73.5">
      <c r="A22" s="77"/>
      <c r="B22" s="77"/>
      <c r="C22" s="77"/>
      <c r="D22" s="57" t="s">
        <v>39</v>
      </c>
      <c r="E22" s="92">
        <f>F22</f>
        <v>2031217</v>
      </c>
      <c r="F22" s="92">
        <f>1964545+66672</f>
        <v>2031217</v>
      </c>
      <c r="G22" s="92">
        <f>1398445+66672</f>
        <v>1465117</v>
      </c>
      <c r="H22" s="92">
        <v>266587</v>
      </c>
      <c r="I22" s="92"/>
      <c r="J22" s="91">
        <f t="shared" si="4"/>
        <v>8000</v>
      </c>
      <c r="K22" s="92"/>
      <c r="L22" s="92">
        <v>8000</v>
      </c>
      <c r="M22" s="92"/>
      <c r="N22" s="92"/>
      <c r="O22" s="91">
        <f t="shared" si="5"/>
        <v>0</v>
      </c>
      <c r="P22" s="92">
        <f t="shared" si="2"/>
        <v>2039217</v>
      </c>
    </row>
    <row r="23" spans="1:16" ht="48.75">
      <c r="A23" s="77" t="s">
        <v>40</v>
      </c>
      <c r="B23" s="77" t="s">
        <v>41</v>
      </c>
      <c r="C23" s="77" t="s">
        <v>42</v>
      </c>
      <c r="D23" s="57" t="s">
        <v>43</v>
      </c>
      <c r="E23" s="92">
        <f>F23</f>
        <v>759115</v>
      </c>
      <c r="F23" s="92">
        <f>F24</f>
        <v>759115</v>
      </c>
      <c r="G23" s="92">
        <f aca="true" t="shared" si="6" ref="G23:N23">G24</f>
        <v>696836</v>
      </c>
      <c r="H23" s="92">
        <f t="shared" si="6"/>
        <v>58244</v>
      </c>
      <c r="I23" s="92">
        <f t="shared" si="6"/>
        <v>0</v>
      </c>
      <c r="J23" s="92">
        <f t="shared" si="6"/>
        <v>56000</v>
      </c>
      <c r="K23" s="92">
        <f t="shared" si="6"/>
        <v>0</v>
      </c>
      <c r="L23" s="92">
        <f t="shared" si="6"/>
        <v>56000</v>
      </c>
      <c r="M23" s="92">
        <f t="shared" si="6"/>
        <v>18300</v>
      </c>
      <c r="N23" s="92">
        <f t="shared" si="6"/>
        <v>12590</v>
      </c>
      <c r="O23" s="91">
        <f t="shared" si="5"/>
        <v>0</v>
      </c>
      <c r="P23" s="92">
        <f t="shared" si="2"/>
        <v>815115</v>
      </c>
    </row>
    <row r="24" spans="1:16" ht="98.25">
      <c r="A24" s="60"/>
      <c r="B24" s="60"/>
      <c r="C24" s="60"/>
      <c r="D24" s="57" t="s">
        <v>44</v>
      </c>
      <c r="E24" s="92">
        <f>F24</f>
        <v>759115</v>
      </c>
      <c r="F24" s="92">
        <v>759115</v>
      </c>
      <c r="G24" s="92">
        <v>696836</v>
      </c>
      <c r="H24" s="92">
        <v>58244</v>
      </c>
      <c r="I24" s="92"/>
      <c r="J24" s="91">
        <f t="shared" si="4"/>
        <v>56000</v>
      </c>
      <c r="K24" s="92"/>
      <c r="L24" s="92">
        <v>56000</v>
      </c>
      <c r="M24" s="92">
        <v>18300</v>
      </c>
      <c r="N24" s="92">
        <v>12590</v>
      </c>
      <c r="O24" s="91">
        <f t="shared" si="5"/>
        <v>0</v>
      </c>
      <c r="P24" s="92">
        <f t="shared" si="2"/>
        <v>815115</v>
      </c>
    </row>
    <row r="25" spans="1:16" ht="73.5">
      <c r="A25" s="77" t="s">
        <v>45</v>
      </c>
      <c r="B25" s="77" t="s">
        <v>46</v>
      </c>
      <c r="C25" s="77" t="s">
        <v>47</v>
      </c>
      <c r="D25" s="57" t="s">
        <v>48</v>
      </c>
      <c r="E25" s="92">
        <f>E31+E27</f>
        <v>29507432</v>
      </c>
      <c r="F25" s="92">
        <f>F31+F27</f>
        <v>29507432</v>
      </c>
      <c r="G25" s="92">
        <f>G31+G27</f>
        <v>0</v>
      </c>
      <c r="H25" s="92">
        <f>H31+H27</f>
        <v>0</v>
      </c>
      <c r="I25" s="92">
        <f>I31+I27</f>
        <v>0</v>
      </c>
      <c r="J25" s="91">
        <f aca="true" t="shared" si="7" ref="J25:O25">J27+J28+J29+J30+J31</f>
        <v>5805900</v>
      </c>
      <c r="K25" s="91">
        <f t="shared" si="7"/>
        <v>5805900</v>
      </c>
      <c r="L25" s="91">
        <f t="shared" si="7"/>
        <v>0</v>
      </c>
      <c r="M25" s="91">
        <f t="shared" si="7"/>
        <v>0</v>
      </c>
      <c r="N25" s="91">
        <f t="shared" si="7"/>
        <v>0</v>
      </c>
      <c r="O25" s="91">
        <f t="shared" si="7"/>
        <v>5805900</v>
      </c>
      <c r="P25" s="92">
        <f t="shared" si="2"/>
        <v>35313332</v>
      </c>
    </row>
    <row r="26" spans="1:16" ht="24" hidden="1">
      <c r="A26" s="77"/>
      <c r="B26" s="77"/>
      <c r="C26" s="77"/>
      <c r="D26" s="57" t="s">
        <v>37</v>
      </c>
      <c r="E26" s="92"/>
      <c r="F26" s="92"/>
      <c r="G26" s="92"/>
      <c r="H26" s="92"/>
      <c r="I26" s="92"/>
      <c r="J26" s="91">
        <f t="shared" si="4"/>
        <v>0</v>
      </c>
      <c r="K26" s="92"/>
      <c r="L26" s="92"/>
      <c r="M26" s="92"/>
      <c r="N26" s="92"/>
      <c r="O26" s="91">
        <f t="shared" si="5"/>
        <v>0</v>
      </c>
      <c r="P26" s="92">
        <f t="shared" si="2"/>
        <v>0</v>
      </c>
    </row>
    <row r="27" spans="1:16" ht="48.75" hidden="1">
      <c r="A27" s="77"/>
      <c r="B27" s="77"/>
      <c r="C27" s="77"/>
      <c r="D27" s="57" t="s">
        <v>49</v>
      </c>
      <c r="E27" s="92">
        <f>F27+I27</f>
        <v>13792455</v>
      </c>
      <c r="F27" s="92">
        <f>13792400+55</f>
        <v>13792455</v>
      </c>
      <c r="G27" s="92"/>
      <c r="H27" s="92"/>
      <c r="I27" s="92"/>
      <c r="J27" s="91">
        <f t="shared" si="4"/>
        <v>0</v>
      </c>
      <c r="K27" s="92"/>
      <c r="L27" s="92"/>
      <c r="M27" s="92"/>
      <c r="N27" s="92"/>
      <c r="O27" s="91">
        <f t="shared" si="5"/>
        <v>0</v>
      </c>
      <c r="P27" s="92">
        <f t="shared" si="2"/>
        <v>13792455</v>
      </c>
    </row>
    <row r="28" spans="1:16" ht="221.25" hidden="1">
      <c r="A28" s="77"/>
      <c r="B28" s="77"/>
      <c r="C28" s="77"/>
      <c r="D28" s="57" t="s">
        <v>50</v>
      </c>
      <c r="E28" s="92"/>
      <c r="F28" s="92"/>
      <c r="G28" s="92"/>
      <c r="H28" s="92"/>
      <c r="I28" s="92"/>
      <c r="J28" s="91">
        <f t="shared" si="4"/>
        <v>0</v>
      </c>
      <c r="K28" s="92"/>
      <c r="L28" s="92"/>
      <c r="M28" s="92"/>
      <c r="N28" s="92"/>
      <c r="O28" s="91">
        <f t="shared" si="5"/>
        <v>0</v>
      </c>
      <c r="P28" s="92">
        <f t="shared" si="2"/>
        <v>0</v>
      </c>
    </row>
    <row r="29" spans="1:16" ht="123" hidden="1">
      <c r="A29" s="77"/>
      <c r="B29" s="77"/>
      <c r="C29" s="77"/>
      <c r="D29" s="58" t="s">
        <v>51</v>
      </c>
      <c r="E29" s="92"/>
      <c r="F29" s="92"/>
      <c r="G29" s="92"/>
      <c r="H29" s="92"/>
      <c r="I29" s="92"/>
      <c r="J29" s="91">
        <f t="shared" si="4"/>
        <v>0</v>
      </c>
      <c r="K29" s="92"/>
      <c r="L29" s="92"/>
      <c r="M29" s="92"/>
      <c r="N29" s="92"/>
      <c r="O29" s="91">
        <f t="shared" si="5"/>
        <v>0</v>
      </c>
      <c r="P29" s="92">
        <f t="shared" si="2"/>
        <v>0</v>
      </c>
    </row>
    <row r="30" spans="1:16" ht="221.25" hidden="1">
      <c r="A30" s="77"/>
      <c r="B30" s="77"/>
      <c r="C30" s="77"/>
      <c r="D30" s="59" t="s">
        <v>50</v>
      </c>
      <c r="E30" s="92"/>
      <c r="F30" s="92"/>
      <c r="G30" s="92"/>
      <c r="H30" s="92"/>
      <c r="I30" s="92"/>
      <c r="J30" s="91">
        <f t="shared" si="4"/>
        <v>0</v>
      </c>
      <c r="K30" s="92"/>
      <c r="L30" s="92"/>
      <c r="M30" s="92"/>
      <c r="N30" s="92"/>
      <c r="O30" s="91">
        <f t="shared" si="5"/>
        <v>0</v>
      </c>
      <c r="P30" s="92">
        <f t="shared" si="2"/>
        <v>0</v>
      </c>
    </row>
    <row r="31" spans="1:16" ht="24" hidden="1">
      <c r="A31" s="77"/>
      <c r="B31" s="77"/>
      <c r="C31" s="77"/>
      <c r="D31" s="57" t="s">
        <v>52</v>
      </c>
      <c r="E31" s="92">
        <f>F31</f>
        <v>15714977</v>
      </c>
      <c r="F31" s="92">
        <f>10009603-20539+1098750+183938+400000+654823+135494+750000+137200+169202+71920+750000+20110+650000+184887+200000+195908+58000+72630+32030+68020-100000-6999</f>
        <v>15714977</v>
      </c>
      <c r="G31" s="92"/>
      <c r="H31" s="92"/>
      <c r="I31" s="92"/>
      <c r="J31" s="91">
        <f t="shared" si="4"/>
        <v>5805900</v>
      </c>
      <c r="K31" s="92">
        <f>4727000+767500+99900+945200-945200+211500</f>
        <v>5805900</v>
      </c>
      <c r="L31" s="92"/>
      <c r="M31" s="92"/>
      <c r="N31" s="92"/>
      <c r="O31" s="91">
        <f t="shared" si="5"/>
        <v>5805900</v>
      </c>
      <c r="P31" s="92">
        <f t="shared" si="2"/>
        <v>21520877</v>
      </c>
    </row>
    <row r="32" spans="1:16" ht="123">
      <c r="A32" s="77" t="s">
        <v>57</v>
      </c>
      <c r="B32" s="77" t="s">
        <v>58</v>
      </c>
      <c r="C32" s="77" t="s">
        <v>59</v>
      </c>
      <c r="D32" s="57" t="s">
        <v>60</v>
      </c>
      <c r="E32" s="92">
        <f>F32</f>
        <v>1001344</v>
      </c>
      <c r="F32" s="92">
        <f>680360+49908+13500+77015+58061+100000+22500</f>
        <v>1001344</v>
      </c>
      <c r="G32" s="92"/>
      <c r="H32" s="92"/>
      <c r="I32" s="92"/>
      <c r="J32" s="91">
        <f t="shared" si="4"/>
        <v>68000</v>
      </c>
      <c r="K32" s="92">
        <f>48000+20000</f>
        <v>68000</v>
      </c>
      <c r="L32" s="92"/>
      <c r="M32" s="92"/>
      <c r="N32" s="92"/>
      <c r="O32" s="91">
        <f t="shared" si="5"/>
        <v>68000</v>
      </c>
      <c r="P32" s="92">
        <f t="shared" si="2"/>
        <v>1069344</v>
      </c>
    </row>
    <row r="33" spans="1:16" ht="98.25">
      <c r="A33" s="77" t="s">
        <v>326</v>
      </c>
      <c r="B33" s="77" t="s">
        <v>327</v>
      </c>
      <c r="C33" s="77" t="s">
        <v>55</v>
      </c>
      <c r="D33" s="57" t="s">
        <v>328</v>
      </c>
      <c r="E33" s="92">
        <f>F33</f>
        <v>2052718</v>
      </c>
      <c r="F33" s="92">
        <f>432000+217918+1402800</f>
        <v>2052718</v>
      </c>
      <c r="G33" s="92"/>
      <c r="H33" s="92"/>
      <c r="I33" s="92"/>
      <c r="J33" s="91"/>
      <c r="K33" s="92"/>
      <c r="L33" s="92"/>
      <c r="M33" s="92"/>
      <c r="N33" s="92"/>
      <c r="O33" s="91"/>
      <c r="P33" s="92">
        <f t="shared" si="2"/>
        <v>2052718</v>
      </c>
    </row>
    <row r="34" spans="1:16" ht="48.75">
      <c r="A34" s="77" t="s">
        <v>53</v>
      </c>
      <c r="B34" s="77" t="s">
        <v>54</v>
      </c>
      <c r="C34" s="77" t="s">
        <v>55</v>
      </c>
      <c r="D34" s="57" t="s">
        <v>56</v>
      </c>
      <c r="E34" s="92">
        <f aca="true" t="shared" si="8" ref="E34:O34">SUM(E35:E39)</f>
        <v>7277333</v>
      </c>
      <c r="F34" s="92">
        <f t="shared" si="8"/>
        <v>7277333</v>
      </c>
      <c r="G34" s="92">
        <f t="shared" si="8"/>
        <v>0</v>
      </c>
      <c r="H34" s="92">
        <f t="shared" si="8"/>
        <v>0</v>
      </c>
      <c r="I34" s="92">
        <f t="shared" si="8"/>
        <v>0</v>
      </c>
      <c r="J34" s="92">
        <f t="shared" si="8"/>
        <v>0</v>
      </c>
      <c r="K34" s="92">
        <f t="shared" si="8"/>
        <v>0</v>
      </c>
      <c r="L34" s="92">
        <f t="shared" si="8"/>
        <v>0</v>
      </c>
      <c r="M34" s="92">
        <f t="shared" si="8"/>
        <v>0</v>
      </c>
      <c r="N34" s="92">
        <f t="shared" si="8"/>
        <v>0</v>
      </c>
      <c r="O34" s="92">
        <f t="shared" si="8"/>
        <v>0</v>
      </c>
      <c r="P34" s="92">
        <f t="shared" si="2"/>
        <v>7277333</v>
      </c>
    </row>
    <row r="35" spans="1:16" ht="24" hidden="1">
      <c r="A35" s="60"/>
      <c r="B35" s="60"/>
      <c r="C35" s="60"/>
      <c r="D35" s="60" t="s">
        <v>61</v>
      </c>
      <c r="E35" s="92">
        <f aca="true" t="shared" si="9" ref="E35:E42">F35</f>
        <v>1504814</v>
      </c>
      <c r="F35" s="92">
        <f>1000000+199000+221814+84000</f>
        <v>1504814</v>
      </c>
      <c r="G35" s="92"/>
      <c r="H35" s="92"/>
      <c r="I35" s="92"/>
      <c r="J35" s="91">
        <f t="shared" si="4"/>
        <v>0</v>
      </c>
      <c r="K35" s="92"/>
      <c r="L35" s="92"/>
      <c r="M35" s="92"/>
      <c r="N35" s="92"/>
      <c r="O35" s="91">
        <f t="shared" si="5"/>
        <v>0</v>
      </c>
      <c r="P35" s="92">
        <f t="shared" si="2"/>
        <v>1504814</v>
      </c>
    </row>
    <row r="36" spans="1:16" ht="24" hidden="1">
      <c r="A36" s="60"/>
      <c r="B36" s="60"/>
      <c r="C36" s="60"/>
      <c r="D36" s="60" t="s">
        <v>62</v>
      </c>
      <c r="E36" s="92">
        <f t="shared" si="9"/>
        <v>5470019</v>
      </c>
      <c r="F36" s="92">
        <f>5010600-476620+100000+106039+600000+130000</f>
        <v>5470019</v>
      </c>
      <c r="G36" s="92"/>
      <c r="H36" s="92"/>
      <c r="I36" s="92"/>
      <c r="J36" s="91">
        <f t="shared" si="4"/>
        <v>0</v>
      </c>
      <c r="K36" s="92"/>
      <c r="L36" s="92"/>
      <c r="M36" s="92"/>
      <c r="N36" s="92"/>
      <c r="O36" s="91">
        <f t="shared" si="5"/>
        <v>0</v>
      </c>
      <c r="P36" s="92">
        <f t="shared" si="2"/>
        <v>5470019</v>
      </c>
    </row>
    <row r="37" spans="1:16" ht="24" hidden="1">
      <c r="A37" s="60"/>
      <c r="B37" s="60"/>
      <c r="C37" s="60"/>
      <c r="D37" s="60" t="s">
        <v>377</v>
      </c>
      <c r="E37" s="92">
        <f t="shared" si="9"/>
        <v>80000</v>
      </c>
      <c r="F37" s="92">
        <f>80000</f>
        <v>80000</v>
      </c>
      <c r="G37" s="92"/>
      <c r="H37" s="92"/>
      <c r="I37" s="92"/>
      <c r="J37" s="91"/>
      <c r="K37" s="92"/>
      <c r="L37" s="92"/>
      <c r="M37" s="92"/>
      <c r="N37" s="92"/>
      <c r="O37" s="91"/>
      <c r="P37" s="92"/>
    </row>
    <row r="38" spans="1:16" ht="48.75" hidden="1">
      <c r="A38" s="60"/>
      <c r="B38" s="60"/>
      <c r="C38" s="60"/>
      <c r="D38" s="60" t="s">
        <v>378</v>
      </c>
      <c r="E38" s="92">
        <f t="shared" si="9"/>
        <v>100000</v>
      </c>
      <c r="F38" s="92">
        <v>100000</v>
      </c>
      <c r="G38" s="92"/>
      <c r="H38" s="92"/>
      <c r="I38" s="92"/>
      <c r="J38" s="91"/>
      <c r="K38" s="92"/>
      <c r="L38" s="92"/>
      <c r="M38" s="92"/>
      <c r="N38" s="92"/>
      <c r="O38" s="91"/>
      <c r="P38" s="92"/>
    </row>
    <row r="39" spans="1:16" ht="24" hidden="1">
      <c r="A39" s="60"/>
      <c r="B39" s="60"/>
      <c r="C39" s="60"/>
      <c r="D39" s="60" t="s">
        <v>396</v>
      </c>
      <c r="E39" s="92">
        <f>F39</f>
        <v>122500</v>
      </c>
      <c r="F39" s="92">
        <v>122500</v>
      </c>
      <c r="G39" s="92"/>
      <c r="H39" s="92"/>
      <c r="I39" s="92"/>
      <c r="J39" s="91"/>
      <c r="K39" s="92"/>
      <c r="L39" s="92"/>
      <c r="M39" s="92"/>
      <c r="N39" s="92"/>
      <c r="O39" s="91"/>
      <c r="P39" s="92"/>
    </row>
    <row r="40" spans="1:16" ht="73.5">
      <c r="A40" s="77" t="s">
        <v>63</v>
      </c>
      <c r="B40" s="77" t="s">
        <v>64</v>
      </c>
      <c r="C40" s="78" t="s">
        <v>65</v>
      </c>
      <c r="D40" s="56" t="s">
        <v>66</v>
      </c>
      <c r="E40" s="92">
        <f t="shared" si="9"/>
        <v>5000</v>
      </c>
      <c r="F40" s="92">
        <v>5000</v>
      </c>
      <c r="G40" s="92"/>
      <c r="H40" s="92"/>
      <c r="I40" s="92"/>
      <c r="J40" s="91">
        <f t="shared" si="4"/>
        <v>0</v>
      </c>
      <c r="K40" s="92"/>
      <c r="L40" s="92"/>
      <c r="M40" s="92"/>
      <c r="N40" s="92"/>
      <c r="O40" s="91">
        <f t="shared" si="5"/>
        <v>0</v>
      </c>
      <c r="P40" s="92">
        <f t="shared" si="2"/>
        <v>5000</v>
      </c>
    </row>
    <row r="41" spans="1:16" ht="73.5">
      <c r="A41" s="77" t="s">
        <v>67</v>
      </c>
      <c r="B41" s="77" t="s">
        <v>68</v>
      </c>
      <c r="C41" s="77" t="s">
        <v>69</v>
      </c>
      <c r="D41" s="57" t="s">
        <v>70</v>
      </c>
      <c r="E41" s="92">
        <f t="shared" si="9"/>
        <v>126000</v>
      </c>
      <c r="F41" s="92">
        <f>94000+32000</f>
        <v>126000</v>
      </c>
      <c r="G41" s="92"/>
      <c r="H41" s="92"/>
      <c r="I41" s="92"/>
      <c r="J41" s="91">
        <f t="shared" si="4"/>
        <v>0</v>
      </c>
      <c r="K41" s="92"/>
      <c r="L41" s="92"/>
      <c r="M41" s="92"/>
      <c r="N41" s="92"/>
      <c r="O41" s="91">
        <f t="shared" si="5"/>
        <v>0</v>
      </c>
      <c r="P41" s="92">
        <f t="shared" si="2"/>
        <v>126000</v>
      </c>
    </row>
    <row r="42" spans="1:16" ht="48.75">
      <c r="A42" s="77" t="s">
        <v>379</v>
      </c>
      <c r="B42" s="77" t="s">
        <v>368</v>
      </c>
      <c r="C42" s="77" t="s">
        <v>369</v>
      </c>
      <c r="D42" s="57" t="s">
        <v>370</v>
      </c>
      <c r="E42" s="92">
        <f t="shared" si="9"/>
        <v>89320</v>
      </c>
      <c r="F42" s="92">
        <v>89320</v>
      </c>
      <c r="G42" s="92">
        <v>8640</v>
      </c>
      <c r="H42" s="92"/>
      <c r="I42" s="92"/>
      <c r="J42" s="91"/>
      <c r="K42" s="92"/>
      <c r="L42" s="92"/>
      <c r="M42" s="92"/>
      <c r="N42" s="92"/>
      <c r="O42" s="91"/>
      <c r="P42" s="92">
        <f t="shared" si="2"/>
        <v>89320</v>
      </c>
    </row>
    <row r="43" spans="1:16" ht="73.5">
      <c r="A43" s="77" t="s">
        <v>71</v>
      </c>
      <c r="B43" s="77" t="s">
        <v>72</v>
      </c>
      <c r="C43" s="77" t="s">
        <v>73</v>
      </c>
      <c r="D43" s="61" t="s">
        <v>74</v>
      </c>
      <c r="E43" s="92">
        <f aca="true" t="shared" si="10" ref="E43:E66">F43</f>
        <v>800000</v>
      </c>
      <c r="F43" s="92">
        <v>800000</v>
      </c>
      <c r="G43" s="92"/>
      <c r="H43" s="92"/>
      <c r="I43" s="92"/>
      <c r="J43" s="91">
        <f t="shared" si="4"/>
        <v>0</v>
      </c>
      <c r="K43" s="92"/>
      <c r="L43" s="92"/>
      <c r="M43" s="92"/>
      <c r="N43" s="92"/>
      <c r="O43" s="91">
        <f t="shared" si="5"/>
        <v>0</v>
      </c>
      <c r="P43" s="92">
        <f t="shared" si="2"/>
        <v>800000</v>
      </c>
    </row>
    <row r="44" spans="1:16" ht="98.25">
      <c r="A44" s="77" t="s">
        <v>75</v>
      </c>
      <c r="B44" s="77" t="s">
        <v>76</v>
      </c>
      <c r="C44" s="77" t="s">
        <v>77</v>
      </c>
      <c r="D44" s="57" t="s">
        <v>78</v>
      </c>
      <c r="E44" s="92">
        <f t="shared" si="10"/>
        <v>303522</v>
      </c>
      <c r="F44" s="92">
        <f>253522+50000</f>
        <v>303522</v>
      </c>
      <c r="G44" s="92"/>
      <c r="H44" s="92"/>
      <c r="I44" s="92"/>
      <c r="J44" s="91">
        <f t="shared" si="4"/>
        <v>0</v>
      </c>
      <c r="K44" s="101"/>
      <c r="L44" s="92"/>
      <c r="M44" s="92"/>
      <c r="N44" s="92"/>
      <c r="O44" s="91">
        <f t="shared" si="5"/>
        <v>0</v>
      </c>
      <c r="P44" s="92">
        <f t="shared" si="2"/>
        <v>303522</v>
      </c>
    </row>
    <row r="45" spans="1:16" ht="48.75">
      <c r="A45" s="77" t="s">
        <v>79</v>
      </c>
      <c r="B45" s="77" t="s">
        <v>80</v>
      </c>
      <c r="C45" s="77" t="s">
        <v>77</v>
      </c>
      <c r="D45" s="57" t="s">
        <v>81</v>
      </c>
      <c r="E45" s="92">
        <f t="shared" si="10"/>
        <v>1684800</v>
      </c>
      <c r="F45" s="92">
        <f>1184800+500000</f>
        <v>1684800</v>
      </c>
      <c r="G45" s="92"/>
      <c r="H45" s="92"/>
      <c r="I45" s="92"/>
      <c r="J45" s="91">
        <f t="shared" si="4"/>
        <v>0</v>
      </c>
      <c r="K45" s="92"/>
      <c r="L45" s="92"/>
      <c r="M45" s="92"/>
      <c r="N45" s="92"/>
      <c r="O45" s="91">
        <f t="shared" si="5"/>
        <v>0</v>
      </c>
      <c r="P45" s="92">
        <f t="shared" si="2"/>
        <v>1684800</v>
      </c>
    </row>
    <row r="46" spans="1:16" ht="73.5" hidden="1">
      <c r="A46" s="77" t="s">
        <v>309</v>
      </c>
      <c r="B46" s="77" t="s">
        <v>310</v>
      </c>
      <c r="C46" s="77" t="s">
        <v>77</v>
      </c>
      <c r="D46" s="57" t="s">
        <v>311</v>
      </c>
      <c r="E46" s="92"/>
      <c r="F46" s="92"/>
      <c r="G46" s="92"/>
      <c r="H46" s="92"/>
      <c r="I46" s="92"/>
      <c r="J46" s="91">
        <f>L46+O46</f>
        <v>0</v>
      </c>
      <c r="K46" s="101"/>
      <c r="L46" s="92"/>
      <c r="M46" s="92"/>
      <c r="N46" s="92"/>
      <c r="O46" s="91">
        <f>K46</f>
        <v>0</v>
      </c>
      <c r="P46" s="92">
        <f>E46+J46</f>
        <v>0</v>
      </c>
    </row>
    <row r="47" spans="1:16" ht="98.25">
      <c r="A47" s="77" t="s">
        <v>82</v>
      </c>
      <c r="B47" s="77" t="s">
        <v>83</v>
      </c>
      <c r="C47" s="77" t="s">
        <v>77</v>
      </c>
      <c r="D47" s="57" t="s">
        <v>84</v>
      </c>
      <c r="E47" s="92">
        <f t="shared" si="10"/>
        <v>2000000</v>
      </c>
      <c r="F47" s="92">
        <v>2000000</v>
      </c>
      <c r="G47" s="92"/>
      <c r="H47" s="92"/>
      <c r="I47" s="92"/>
      <c r="J47" s="91">
        <f t="shared" si="4"/>
        <v>0</v>
      </c>
      <c r="K47" s="92"/>
      <c r="L47" s="92"/>
      <c r="M47" s="92"/>
      <c r="N47" s="92"/>
      <c r="O47" s="91">
        <f t="shared" si="5"/>
        <v>0</v>
      </c>
      <c r="P47" s="92">
        <f t="shared" si="2"/>
        <v>2000000</v>
      </c>
    </row>
    <row r="48" spans="1:16" ht="171.75">
      <c r="A48" s="77" t="s">
        <v>85</v>
      </c>
      <c r="B48" s="77" t="s">
        <v>86</v>
      </c>
      <c r="C48" s="77" t="s">
        <v>77</v>
      </c>
      <c r="D48" s="57" t="s">
        <v>87</v>
      </c>
      <c r="E48" s="92">
        <f t="shared" si="10"/>
        <v>1273268</v>
      </c>
      <c r="F48" s="92">
        <f>300000+400000+473268+100000</f>
        <v>1273268</v>
      </c>
      <c r="G48" s="92"/>
      <c r="H48" s="92"/>
      <c r="I48" s="92"/>
      <c r="J48" s="91">
        <f t="shared" si="4"/>
        <v>0</v>
      </c>
      <c r="K48" s="92"/>
      <c r="L48" s="92"/>
      <c r="M48" s="92"/>
      <c r="N48" s="92"/>
      <c r="O48" s="91">
        <f t="shared" si="5"/>
        <v>0</v>
      </c>
      <c r="P48" s="92">
        <f t="shared" si="2"/>
        <v>1273268</v>
      </c>
    </row>
    <row r="49" spans="1:16" ht="48.75">
      <c r="A49" s="77" t="s">
        <v>88</v>
      </c>
      <c r="B49" s="77" t="s">
        <v>89</v>
      </c>
      <c r="C49" s="77" t="s">
        <v>77</v>
      </c>
      <c r="D49" s="57" t="s">
        <v>90</v>
      </c>
      <c r="E49" s="92">
        <f t="shared" si="10"/>
        <v>31304909</v>
      </c>
      <c r="F49" s="92">
        <f>30300000+618189+199131+113068+30728+43793</f>
        <v>31304909</v>
      </c>
      <c r="G49" s="92"/>
      <c r="H49" s="92"/>
      <c r="I49" s="92"/>
      <c r="J49" s="91">
        <f t="shared" si="4"/>
        <v>0</v>
      </c>
      <c r="K49" s="101"/>
      <c r="L49" s="92"/>
      <c r="M49" s="92"/>
      <c r="N49" s="92"/>
      <c r="O49" s="91">
        <f t="shared" si="5"/>
        <v>0</v>
      </c>
      <c r="P49" s="92">
        <f t="shared" si="2"/>
        <v>31304909</v>
      </c>
    </row>
    <row r="50" spans="1:16" ht="294.75">
      <c r="A50" s="77" t="s">
        <v>387</v>
      </c>
      <c r="B50" s="77" t="s">
        <v>388</v>
      </c>
      <c r="C50" s="77" t="s">
        <v>91</v>
      </c>
      <c r="D50" s="108" t="s">
        <v>389</v>
      </c>
      <c r="E50" s="92">
        <f>F50</f>
        <v>1836676</v>
      </c>
      <c r="F50" s="92">
        <f>1030968+805708</f>
        <v>1836676</v>
      </c>
      <c r="G50" s="92"/>
      <c r="H50" s="92"/>
      <c r="I50" s="92"/>
      <c r="J50" s="91"/>
      <c r="K50" s="101"/>
      <c r="L50" s="92"/>
      <c r="M50" s="92"/>
      <c r="N50" s="92"/>
      <c r="O50" s="91"/>
      <c r="P50" s="92">
        <f t="shared" si="2"/>
        <v>1836676</v>
      </c>
    </row>
    <row r="51" spans="1:16" ht="73.5">
      <c r="A51" s="77" t="s">
        <v>92</v>
      </c>
      <c r="B51" s="77" t="s">
        <v>93</v>
      </c>
      <c r="C51" s="77" t="s">
        <v>91</v>
      </c>
      <c r="D51" s="62" t="s">
        <v>94</v>
      </c>
      <c r="E51" s="92">
        <f t="shared" si="10"/>
        <v>199500</v>
      </c>
      <c r="F51" s="92">
        <v>199500</v>
      </c>
      <c r="G51" s="92"/>
      <c r="H51" s="92"/>
      <c r="I51" s="92"/>
      <c r="J51" s="91">
        <f t="shared" si="4"/>
        <v>0</v>
      </c>
      <c r="K51" s="92"/>
      <c r="L51" s="92"/>
      <c r="M51" s="92"/>
      <c r="N51" s="92"/>
      <c r="O51" s="91">
        <f t="shared" si="5"/>
        <v>0</v>
      </c>
      <c r="P51" s="92">
        <f t="shared" si="2"/>
        <v>199500</v>
      </c>
    </row>
    <row r="52" spans="1:16" ht="48.75">
      <c r="A52" s="77" t="s">
        <v>95</v>
      </c>
      <c r="B52" s="77" t="s">
        <v>96</v>
      </c>
      <c r="C52" s="77" t="s">
        <v>97</v>
      </c>
      <c r="D52" s="57" t="s">
        <v>98</v>
      </c>
      <c r="E52" s="92">
        <f t="shared" si="10"/>
        <v>100000</v>
      </c>
      <c r="F52" s="92">
        <v>100000</v>
      </c>
      <c r="G52" s="92"/>
      <c r="H52" s="92"/>
      <c r="I52" s="92"/>
      <c r="J52" s="91">
        <f t="shared" si="4"/>
        <v>0</v>
      </c>
      <c r="K52" s="92"/>
      <c r="L52" s="92"/>
      <c r="M52" s="92"/>
      <c r="N52" s="92"/>
      <c r="O52" s="91">
        <f t="shared" si="5"/>
        <v>0</v>
      </c>
      <c r="P52" s="92">
        <f t="shared" si="2"/>
        <v>100000</v>
      </c>
    </row>
    <row r="53" spans="1:16" ht="73.5">
      <c r="A53" s="77" t="s">
        <v>353</v>
      </c>
      <c r="B53" s="77" t="s">
        <v>303</v>
      </c>
      <c r="C53" s="77" t="s">
        <v>99</v>
      </c>
      <c r="D53" s="57" t="s">
        <v>304</v>
      </c>
      <c r="E53" s="92"/>
      <c r="F53" s="92"/>
      <c r="G53" s="92"/>
      <c r="H53" s="92"/>
      <c r="I53" s="92"/>
      <c r="J53" s="91">
        <f t="shared" si="4"/>
        <v>2738353</v>
      </c>
      <c r="K53" s="92">
        <f>1489850+401229+1061729+799188-1013643</f>
        <v>2738353</v>
      </c>
      <c r="L53" s="92"/>
      <c r="M53" s="92"/>
      <c r="N53" s="92"/>
      <c r="O53" s="91">
        <f t="shared" si="5"/>
        <v>2738353</v>
      </c>
      <c r="P53" s="92">
        <f t="shared" si="2"/>
        <v>2738353</v>
      </c>
    </row>
    <row r="54" spans="1:16" ht="48.75">
      <c r="A54" s="77" t="s">
        <v>384</v>
      </c>
      <c r="B54" s="77" t="s">
        <v>385</v>
      </c>
      <c r="C54" s="77" t="s">
        <v>99</v>
      </c>
      <c r="D54" s="57" t="s">
        <v>386</v>
      </c>
      <c r="E54" s="92"/>
      <c r="F54" s="92"/>
      <c r="G54" s="92"/>
      <c r="H54" s="92"/>
      <c r="I54" s="92"/>
      <c r="J54" s="91">
        <f t="shared" si="4"/>
        <v>2071463</v>
      </c>
      <c r="K54" s="92">
        <f>182560+682318+245255+238931+200000+272399+250000</f>
        <v>2071463</v>
      </c>
      <c r="L54" s="92"/>
      <c r="M54" s="92"/>
      <c r="N54" s="92"/>
      <c r="O54" s="91">
        <f t="shared" si="5"/>
        <v>2071463</v>
      </c>
      <c r="P54" s="92">
        <f t="shared" si="2"/>
        <v>2071463</v>
      </c>
    </row>
    <row r="55" spans="1:16" ht="48.75">
      <c r="A55" s="77" t="s">
        <v>338</v>
      </c>
      <c r="B55" s="77" t="s">
        <v>258</v>
      </c>
      <c r="C55" s="77" t="s">
        <v>99</v>
      </c>
      <c r="D55" s="57" t="s">
        <v>339</v>
      </c>
      <c r="E55" s="92"/>
      <c r="F55" s="92"/>
      <c r="G55" s="92"/>
      <c r="H55" s="92"/>
      <c r="I55" s="92"/>
      <c r="J55" s="91">
        <f t="shared" si="4"/>
        <v>2939539</v>
      </c>
      <c r="K55" s="92">
        <f>236684+57727+284098+1035724+60000+747973+300000+138312+53021+26000</f>
        <v>2939539</v>
      </c>
      <c r="L55" s="92"/>
      <c r="M55" s="92"/>
      <c r="N55" s="92"/>
      <c r="O55" s="91">
        <f t="shared" si="5"/>
        <v>2939539</v>
      </c>
      <c r="P55" s="92">
        <f t="shared" si="2"/>
        <v>2939539</v>
      </c>
    </row>
    <row r="56" spans="1:16" ht="123">
      <c r="A56" s="77" t="s">
        <v>315</v>
      </c>
      <c r="B56" s="77" t="s">
        <v>313</v>
      </c>
      <c r="C56" s="77" t="s">
        <v>100</v>
      </c>
      <c r="D56" s="57" t="s">
        <v>314</v>
      </c>
      <c r="E56" s="92"/>
      <c r="F56" s="92"/>
      <c r="G56" s="92"/>
      <c r="H56" s="92"/>
      <c r="I56" s="92"/>
      <c r="J56" s="91">
        <f t="shared" si="4"/>
        <v>1116707</v>
      </c>
      <c r="K56" s="92">
        <f>1204337+200000+1306707-1204337-200000-190000</f>
        <v>1116707</v>
      </c>
      <c r="L56" s="92"/>
      <c r="M56" s="92"/>
      <c r="N56" s="92"/>
      <c r="O56" s="91">
        <f>K56</f>
        <v>1116707</v>
      </c>
      <c r="P56" s="92">
        <f>E56+J56</f>
        <v>1116707</v>
      </c>
    </row>
    <row r="57" spans="1:16" ht="78.75" customHeight="1">
      <c r="A57" s="77" t="s">
        <v>380</v>
      </c>
      <c r="B57" s="77" t="s">
        <v>381</v>
      </c>
      <c r="C57" s="77" t="s">
        <v>382</v>
      </c>
      <c r="D57" s="57" t="s">
        <v>383</v>
      </c>
      <c r="E57" s="92">
        <f>F57</f>
        <v>537421</v>
      </c>
      <c r="F57" s="92">
        <f>187310+219817+130294</f>
        <v>537421</v>
      </c>
      <c r="G57" s="92"/>
      <c r="H57" s="92"/>
      <c r="I57" s="92"/>
      <c r="J57" s="91"/>
      <c r="K57" s="92"/>
      <c r="L57" s="92"/>
      <c r="M57" s="92"/>
      <c r="N57" s="92"/>
      <c r="O57" s="91"/>
      <c r="P57" s="92">
        <f>E57+J57</f>
        <v>537421</v>
      </c>
    </row>
    <row r="58" spans="1:16" ht="78.75" customHeight="1">
      <c r="A58" s="77" t="s">
        <v>559</v>
      </c>
      <c r="B58" s="77" t="s">
        <v>560</v>
      </c>
      <c r="C58" s="77" t="s">
        <v>382</v>
      </c>
      <c r="D58" s="57" t="s">
        <v>561</v>
      </c>
      <c r="E58" s="92">
        <f>F58</f>
        <v>195000</v>
      </c>
      <c r="F58" s="92">
        <v>195000</v>
      </c>
      <c r="G58" s="92"/>
      <c r="H58" s="92"/>
      <c r="I58" s="92"/>
      <c r="J58" s="91"/>
      <c r="K58" s="92"/>
      <c r="L58" s="92"/>
      <c r="M58" s="92"/>
      <c r="N58" s="92"/>
      <c r="O58" s="91"/>
      <c r="P58" s="92">
        <f>E58+J58</f>
        <v>195000</v>
      </c>
    </row>
    <row r="59" spans="1:16" ht="123">
      <c r="A59" s="77" t="s">
        <v>101</v>
      </c>
      <c r="B59" s="77" t="s">
        <v>102</v>
      </c>
      <c r="C59" s="77" t="s">
        <v>103</v>
      </c>
      <c r="D59" s="57" t="s">
        <v>104</v>
      </c>
      <c r="E59" s="92">
        <f t="shared" si="10"/>
        <v>7500000</v>
      </c>
      <c r="F59" s="92">
        <v>7500000</v>
      </c>
      <c r="G59" s="92"/>
      <c r="H59" s="92"/>
      <c r="I59" s="92"/>
      <c r="J59" s="91">
        <f t="shared" si="4"/>
        <v>0</v>
      </c>
      <c r="K59" s="92"/>
      <c r="L59" s="92"/>
      <c r="M59" s="92"/>
      <c r="N59" s="92"/>
      <c r="O59" s="91">
        <f t="shared" si="5"/>
        <v>0</v>
      </c>
      <c r="P59" s="92">
        <f t="shared" si="2"/>
        <v>7500000</v>
      </c>
    </row>
    <row r="60" spans="1:16" ht="73.5">
      <c r="A60" s="77" t="s">
        <v>316</v>
      </c>
      <c r="B60" s="77" t="s">
        <v>317</v>
      </c>
      <c r="C60" s="77" t="s">
        <v>100</v>
      </c>
      <c r="D60" s="63" t="s">
        <v>318</v>
      </c>
      <c r="E60" s="92"/>
      <c r="F60" s="92"/>
      <c r="G60" s="92"/>
      <c r="H60" s="92"/>
      <c r="I60" s="92"/>
      <c r="J60" s="91">
        <f t="shared" si="4"/>
        <v>10828876</v>
      </c>
      <c r="K60" s="92">
        <f>4500000+3250000+4500000+1500000+65306+512640+945200+239000-4500000+40000+500000-790494+67224</f>
        <v>10828876</v>
      </c>
      <c r="L60" s="92"/>
      <c r="M60" s="92"/>
      <c r="N60" s="92"/>
      <c r="O60" s="91">
        <f>K60</f>
        <v>10828876</v>
      </c>
      <c r="P60" s="92">
        <f>E60+J60</f>
        <v>10828876</v>
      </c>
    </row>
    <row r="61" spans="1:16" ht="73.5">
      <c r="A61" s="77" t="s">
        <v>105</v>
      </c>
      <c r="B61" s="77" t="s">
        <v>106</v>
      </c>
      <c r="C61" s="77" t="s">
        <v>100</v>
      </c>
      <c r="D61" s="63" t="s">
        <v>107</v>
      </c>
      <c r="E61" s="92">
        <f t="shared" si="10"/>
        <v>29837</v>
      </c>
      <c r="F61" s="92">
        <f>25325+4512</f>
        <v>29837</v>
      </c>
      <c r="G61" s="92"/>
      <c r="H61" s="92"/>
      <c r="I61" s="92"/>
      <c r="J61" s="91">
        <f t="shared" si="4"/>
        <v>0</v>
      </c>
      <c r="K61" s="92"/>
      <c r="L61" s="92"/>
      <c r="M61" s="92"/>
      <c r="N61" s="92"/>
      <c r="O61" s="91">
        <f t="shared" si="5"/>
        <v>0</v>
      </c>
      <c r="P61" s="92">
        <f t="shared" si="2"/>
        <v>29837</v>
      </c>
    </row>
    <row r="62" spans="1:16" ht="48.75">
      <c r="A62" s="77" t="s">
        <v>108</v>
      </c>
      <c r="B62" s="77" t="s">
        <v>109</v>
      </c>
      <c r="C62" s="77" t="s">
        <v>100</v>
      </c>
      <c r="D62" s="57" t="s">
        <v>110</v>
      </c>
      <c r="E62" s="92">
        <f t="shared" si="10"/>
        <v>4359459</v>
      </c>
      <c r="F62" s="92">
        <f>1978205+50000+400000-50000+17669+195000+58410+78000+456628+91204-300000+386452+195364+400000+300000+32500+70027</f>
        <v>4359459</v>
      </c>
      <c r="G62" s="92"/>
      <c r="H62" s="92"/>
      <c r="I62" s="92"/>
      <c r="J62" s="91">
        <f t="shared" si="4"/>
        <v>0</v>
      </c>
      <c r="K62" s="92"/>
      <c r="L62" s="92"/>
      <c r="M62" s="92"/>
      <c r="N62" s="92"/>
      <c r="O62" s="91">
        <f t="shared" si="5"/>
        <v>0</v>
      </c>
      <c r="P62" s="92">
        <f t="shared" si="2"/>
        <v>4359459</v>
      </c>
    </row>
    <row r="63" spans="1:16" ht="73.5">
      <c r="A63" s="77" t="s">
        <v>111</v>
      </c>
      <c r="B63" s="77" t="s">
        <v>112</v>
      </c>
      <c r="C63" s="77" t="s">
        <v>113</v>
      </c>
      <c r="D63" s="64" t="s">
        <v>114</v>
      </c>
      <c r="E63" s="92">
        <f t="shared" si="10"/>
        <v>3028557</v>
      </c>
      <c r="F63" s="92">
        <f>2497345+62500+51658+417054</f>
        <v>3028557</v>
      </c>
      <c r="G63" s="92"/>
      <c r="H63" s="92"/>
      <c r="I63" s="92"/>
      <c r="J63" s="91">
        <f t="shared" si="4"/>
        <v>0</v>
      </c>
      <c r="K63" s="92"/>
      <c r="L63" s="92"/>
      <c r="M63" s="92"/>
      <c r="N63" s="92"/>
      <c r="O63" s="91">
        <f t="shared" si="5"/>
        <v>0</v>
      </c>
      <c r="P63" s="92">
        <f t="shared" si="2"/>
        <v>3028557</v>
      </c>
    </row>
    <row r="64" spans="1:16" ht="48.75">
      <c r="A64" s="77" t="s">
        <v>115</v>
      </c>
      <c r="B64" s="77" t="s">
        <v>116</v>
      </c>
      <c r="C64" s="77" t="s">
        <v>117</v>
      </c>
      <c r="D64" s="62" t="s">
        <v>118</v>
      </c>
      <c r="E64" s="92"/>
      <c r="F64" s="92"/>
      <c r="G64" s="92"/>
      <c r="H64" s="92"/>
      <c r="I64" s="92"/>
      <c r="J64" s="91">
        <f t="shared" si="4"/>
        <v>925958</v>
      </c>
      <c r="K64" s="92"/>
      <c r="L64" s="92">
        <f>212000+433958</f>
        <v>645958</v>
      </c>
      <c r="M64" s="92"/>
      <c r="N64" s="92"/>
      <c r="O64" s="91">
        <f>280000</f>
        <v>280000</v>
      </c>
      <c r="P64" s="92">
        <f t="shared" si="2"/>
        <v>925958</v>
      </c>
    </row>
    <row r="65" spans="1:16" ht="48.75">
      <c r="A65" s="77" t="s">
        <v>119</v>
      </c>
      <c r="B65" s="77" t="s">
        <v>120</v>
      </c>
      <c r="C65" s="77" t="s">
        <v>121</v>
      </c>
      <c r="D65" s="62" t="s">
        <v>122</v>
      </c>
      <c r="E65" s="92">
        <f t="shared" si="10"/>
        <v>749450</v>
      </c>
      <c r="F65" s="92">
        <v>749450</v>
      </c>
      <c r="G65" s="92"/>
      <c r="H65" s="92"/>
      <c r="I65" s="92"/>
      <c r="J65" s="91">
        <f t="shared" si="4"/>
        <v>0</v>
      </c>
      <c r="K65" s="92"/>
      <c r="L65" s="92"/>
      <c r="M65" s="92"/>
      <c r="N65" s="92"/>
      <c r="O65" s="91">
        <f t="shared" si="5"/>
        <v>0</v>
      </c>
      <c r="P65" s="92">
        <f t="shared" si="2"/>
        <v>749450</v>
      </c>
    </row>
    <row r="66" spans="1:16" ht="49.5" thickBot="1">
      <c r="A66" s="79" t="s">
        <v>123</v>
      </c>
      <c r="B66" s="79" t="s">
        <v>124</v>
      </c>
      <c r="C66" s="79" t="s">
        <v>121</v>
      </c>
      <c r="D66" s="65" t="s">
        <v>125</v>
      </c>
      <c r="E66" s="93">
        <f t="shared" si="10"/>
        <v>1070455</v>
      </c>
      <c r="F66" s="93">
        <v>1070455</v>
      </c>
      <c r="G66" s="93"/>
      <c r="H66" s="93"/>
      <c r="I66" s="93"/>
      <c r="J66" s="94">
        <f t="shared" si="4"/>
        <v>0</v>
      </c>
      <c r="K66" s="93"/>
      <c r="L66" s="93"/>
      <c r="M66" s="93"/>
      <c r="N66" s="93"/>
      <c r="O66" s="94">
        <f t="shared" si="5"/>
        <v>0</v>
      </c>
      <c r="P66" s="93">
        <f t="shared" si="2"/>
        <v>1070455</v>
      </c>
    </row>
    <row r="67" spans="1:16" s="15" customFormat="1" ht="72">
      <c r="A67" s="75" t="s">
        <v>126</v>
      </c>
      <c r="B67" s="75"/>
      <c r="C67" s="75"/>
      <c r="D67" s="54" t="s">
        <v>127</v>
      </c>
      <c r="E67" s="89">
        <f>E68</f>
        <v>278494368</v>
      </c>
      <c r="F67" s="89">
        <f aca="true" t="shared" si="11" ref="F67:N67">F68</f>
        <v>278494368</v>
      </c>
      <c r="G67" s="89">
        <f t="shared" si="11"/>
        <v>230476538</v>
      </c>
      <c r="H67" s="89">
        <f t="shared" si="11"/>
        <v>29143448</v>
      </c>
      <c r="I67" s="89">
        <f t="shared" si="11"/>
        <v>0</v>
      </c>
      <c r="J67" s="89">
        <f t="shared" si="11"/>
        <v>16128968</v>
      </c>
      <c r="K67" s="89">
        <f t="shared" si="11"/>
        <v>8043975</v>
      </c>
      <c r="L67" s="89">
        <f t="shared" si="11"/>
        <v>8084993</v>
      </c>
      <c r="M67" s="89">
        <f t="shared" si="11"/>
        <v>1371748</v>
      </c>
      <c r="N67" s="89">
        <f t="shared" si="11"/>
        <v>35707</v>
      </c>
      <c r="O67" s="95">
        <f t="shared" si="5"/>
        <v>8043975</v>
      </c>
      <c r="P67" s="89">
        <f t="shared" si="2"/>
        <v>294623336</v>
      </c>
    </row>
    <row r="68" spans="1:16" s="15" customFormat="1" ht="72">
      <c r="A68" s="76" t="s">
        <v>128</v>
      </c>
      <c r="B68" s="76"/>
      <c r="C68" s="76"/>
      <c r="D68" s="55" t="s">
        <v>127</v>
      </c>
      <c r="E68" s="90">
        <f>E69+E70+E71+E83+E84+E85+E86+E87+E91+E93+E90</f>
        <v>278494368</v>
      </c>
      <c r="F68" s="90">
        <f>F69+F70+F71+F83+F84+F85+F86+F87+F91+F93+F90</f>
        <v>278494368</v>
      </c>
      <c r="G68" s="90">
        <f>G69+G70+G71+G83+G84+G85+G86+G87+G91+G93+G90</f>
        <v>230476538</v>
      </c>
      <c r="H68" s="90">
        <f>H69+H70+H71+H83+H84+H85+H86+H87+H91+H93+H90</f>
        <v>29143448</v>
      </c>
      <c r="I68" s="90">
        <f>I69+I70+I71+I83+I84+I85+I86+I87+I91+I93</f>
        <v>0</v>
      </c>
      <c r="J68" s="90">
        <f aca="true" t="shared" si="12" ref="J68:O68">J69+J70+J71+J83+J84+J85+J86+J87+J91+J92+J93</f>
        <v>16128968</v>
      </c>
      <c r="K68" s="90">
        <f t="shared" si="12"/>
        <v>8043975</v>
      </c>
      <c r="L68" s="90">
        <f t="shared" si="12"/>
        <v>8084993</v>
      </c>
      <c r="M68" s="90">
        <f t="shared" si="12"/>
        <v>1371748</v>
      </c>
      <c r="N68" s="90">
        <f t="shared" si="12"/>
        <v>35707</v>
      </c>
      <c r="O68" s="90">
        <f t="shared" si="12"/>
        <v>8043975</v>
      </c>
      <c r="P68" s="90">
        <f t="shared" si="2"/>
        <v>294623336</v>
      </c>
    </row>
    <row r="69" spans="1:16" ht="123">
      <c r="A69" s="77" t="s">
        <v>129</v>
      </c>
      <c r="B69" s="77" t="s">
        <v>130</v>
      </c>
      <c r="C69" s="77" t="s">
        <v>35</v>
      </c>
      <c r="D69" s="57" t="s">
        <v>131</v>
      </c>
      <c r="E69" s="92">
        <f>F69</f>
        <v>1630780</v>
      </c>
      <c r="F69" s="92">
        <f>1543305+87475</f>
        <v>1630780</v>
      </c>
      <c r="G69" s="92">
        <f>1437782+87475</f>
        <v>1525257</v>
      </c>
      <c r="H69" s="92">
        <v>61615</v>
      </c>
      <c r="I69" s="92"/>
      <c r="J69" s="91">
        <f t="shared" si="4"/>
        <v>13000</v>
      </c>
      <c r="K69" s="92">
        <f>13000</f>
        <v>13000</v>
      </c>
      <c r="L69" s="92"/>
      <c r="M69" s="92"/>
      <c r="N69" s="92"/>
      <c r="O69" s="91">
        <f t="shared" si="5"/>
        <v>13000</v>
      </c>
      <c r="P69" s="92">
        <f t="shared" si="2"/>
        <v>1643780</v>
      </c>
    </row>
    <row r="70" spans="1:16" ht="24">
      <c r="A70" s="77" t="s">
        <v>132</v>
      </c>
      <c r="B70" s="77" t="s">
        <v>133</v>
      </c>
      <c r="C70" s="77" t="s">
        <v>134</v>
      </c>
      <c r="D70" s="57" t="s">
        <v>135</v>
      </c>
      <c r="E70" s="92">
        <f>F70</f>
        <v>89490186</v>
      </c>
      <c r="F70" s="92">
        <f>78894027+4672462+2490037-472825+3877569+28916</f>
        <v>89490186</v>
      </c>
      <c r="G70" s="92">
        <f>63227525+4140907+2061205+3196291</f>
        <v>72625928</v>
      </c>
      <c r="H70" s="92">
        <f>11705083+332650+292993-472824+428855</f>
        <v>12286757</v>
      </c>
      <c r="I70" s="92"/>
      <c r="J70" s="91">
        <f t="shared" si="4"/>
        <v>5157228</v>
      </c>
      <c r="K70" s="92">
        <f>12000+16800</f>
        <v>28800</v>
      </c>
      <c r="L70" s="92">
        <f>4487928+414750+225750</f>
        <v>5128428</v>
      </c>
      <c r="M70" s="92"/>
      <c r="N70" s="92"/>
      <c r="O70" s="91">
        <f t="shared" si="5"/>
        <v>28800</v>
      </c>
      <c r="P70" s="92">
        <f t="shared" si="2"/>
        <v>94647414</v>
      </c>
    </row>
    <row r="71" spans="1:16" ht="147">
      <c r="A71" s="77" t="s">
        <v>136</v>
      </c>
      <c r="B71" s="77" t="s">
        <v>137</v>
      </c>
      <c r="C71" s="77" t="s">
        <v>138</v>
      </c>
      <c r="D71" s="56" t="s">
        <v>341</v>
      </c>
      <c r="E71" s="92">
        <f>SUM(E73:E82)</f>
        <v>173011686</v>
      </c>
      <c r="F71" s="92">
        <f aca="true" t="shared" si="13" ref="F71:O71">SUM(F73:F82)</f>
        <v>173011686</v>
      </c>
      <c r="G71" s="92">
        <f t="shared" si="13"/>
        <v>143137398</v>
      </c>
      <c r="H71" s="92">
        <f t="shared" si="13"/>
        <v>15899479</v>
      </c>
      <c r="I71" s="92">
        <f t="shared" si="13"/>
        <v>0</v>
      </c>
      <c r="J71" s="92">
        <f t="shared" si="13"/>
        <v>4381230</v>
      </c>
      <c r="K71" s="92">
        <f t="shared" si="13"/>
        <v>1424665</v>
      </c>
      <c r="L71" s="92">
        <f t="shared" si="13"/>
        <v>2956565</v>
      </c>
      <c r="M71" s="92">
        <f t="shared" si="13"/>
        <v>1371748</v>
      </c>
      <c r="N71" s="92">
        <f t="shared" si="13"/>
        <v>35707</v>
      </c>
      <c r="O71" s="92">
        <f t="shared" si="13"/>
        <v>1424665</v>
      </c>
      <c r="P71" s="92">
        <f t="shared" si="2"/>
        <v>177392916</v>
      </c>
    </row>
    <row r="72" spans="1:16" ht="24" hidden="1">
      <c r="A72" s="77"/>
      <c r="B72" s="77"/>
      <c r="C72" s="77"/>
      <c r="D72" s="66" t="s">
        <v>37</v>
      </c>
      <c r="E72" s="92"/>
      <c r="F72" s="92"/>
      <c r="G72" s="92"/>
      <c r="H72" s="92"/>
      <c r="I72" s="92"/>
      <c r="J72" s="91">
        <f t="shared" si="4"/>
        <v>0</v>
      </c>
      <c r="K72" s="92"/>
      <c r="L72" s="92"/>
      <c r="M72" s="92"/>
      <c r="N72" s="92"/>
      <c r="O72" s="91">
        <f t="shared" si="5"/>
        <v>0</v>
      </c>
      <c r="P72" s="92">
        <f t="shared" si="2"/>
        <v>0</v>
      </c>
    </row>
    <row r="73" spans="1:16" ht="48.75" hidden="1">
      <c r="A73" s="77"/>
      <c r="B73" s="77"/>
      <c r="C73" s="77"/>
      <c r="D73" s="67" t="s">
        <v>139</v>
      </c>
      <c r="E73" s="92">
        <f>F73</f>
        <v>114051648</v>
      </c>
      <c r="F73" s="92">
        <f>94732600+18873+19297400+2775</f>
        <v>114051648</v>
      </c>
      <c r="G73" s="92">
        <f>94732600+18873+19297400+2775</f>
        <v>114051648</v>
      </c>
      <c r="H73" s="92"/>
      <c r="I73" s="92"/>
      <c r="J73" s="91">
        <f t="shared" si="4"/>
        <v>0</v>
      </c>
      <c r="K73" s="92"/>
      <c r="L73" s="92"/>
      <c r="M73" s="92"/>
      <c r="N73" s="92"/>
      <c r="O73" s="91">
        <f t="shared" si="5"/>
        <v>0</v>
      </c>
      <c r="P73" s="92">
        <f t="shared" si="2"/>
        <v>114051648</v>
      </c>
    </row>
    <row r="74" spans="1:16" ht="48.75" hidden="1">
      <c r="A74" s="77"/>
      <c r="B74" s="77"/>
      <c r="C74" s="77"/>
      <c r="D74" s="67" t="s">
        <v>140</v>
      </c>
      <c r="E74" s="92"/>
      <c r="F74" s="92"/>
      <c r="G74" s="92"/>
      <c r="H74" s="92"/>
      <c r="I74" s="92"/>
      <c r="J74" s="91">
        <f t="shared" si="4"/>
        <v>0</v>
      </c>
      <c r="K74" s="92"/>
      <c r="L74" s="92"/>
      <c r="M74" s="92"/>
      <c r="N74" s="92"/>
      <c r="O74" s="91">
        <f t="shared" si="5"/>
        <v>0</v>
      </c>
      <c r="P74" s="92">
        <f t="shared" si="2"/>
        <v>0</v>
      </c>
    </row>
    <row r="75" spans="1:16" ht="221.25" hidden="1">
      <c r="A75" s="77"/>
      <c r="B75" s="77"/>
      <c r="C75" s="77"/>
      <c r="D75" s="67" t="s">
        <v>141</v>
      </c>
      <c r="E75" s="92">
        <f>F75</f>
        <v>1209324</v>
      </c>
      <c r="F75" s="92">
        <f>1536303+1877-328856</f>
        <v>1209324</v>
      </c>
      <c r="G75" s="92"/>
      <c r="H75" s="92"/>
      <c r="I75" s="92"/>
      <c r="J75" s="91">
        <f t="shared" si="4"/>
        <v>520978</v>
      </c>
      <c r="K75" s="92">
        <f>520437+541</f>
        <v>520978</v>
      </c>
      <c r="L75" s="92"/>
      <c r="M75" s="92"/>
      <c r="N75" s="92"/>
      <c r="O75" s="91">
        <f t="shared" si="5"/>
        <v>520978</v>
      </c>
      <c r="P75" s="92">
        <f>J75+E75</f>
        <v>1730302</v>
      </c>
    </row>
    <row r="76" spans="1:16" ht="196.5" hidden="1">
      <c r="A76" s="77"/>
      <c r="B76" s="77"/>
      <c r="C76" s="77"/>
      <c r="D76" s="67" t="s">
        <v>142</v>
      </c>
      <c r="E76" s="92">
        <f>F76</f>
        <v>287591</v>
      </c>
      <c r="F76" s="92">
        <f>135900+38441+113250</f>
        <v>287591</v>
      </c>
      <c r="G76" s="92">
        <f>135900+38441+113250</f>
        <v>287591</v>
      </c>
      <c r="H76" s="92"/>
      <c r="I76" s="92"/>
      <c r="J76" s="91">
        <f t="shared" si="4"/>
        <v>219417</v>
      </c>
      <c r="K76" s="92">
        <f>O76</f>
        <v>219417</v>
      </c>
      <c r="L76" s="92"/>
      <c r="M76" s="92"/>
      <c r="N76" s="92"/>
      <c r="O76" s="91">
        <f>144000+120000-44583</f>
        <v>219417</v>
      </c>
      <c r="P76" s="92">
        <f t="shared" si="2"/>
        <v>507008</v>
      </c>
    </row>
    <row r="77" spans="1:16" ht="171.75" hidden="1">
      <c r="A77" s="77"/>
      <c r="B77" s="77"/>
      <c r="C77" s="77"/>
      <c r="D77" s="67" t="s">
        <v>143</v>
      </c>
      <c r="E77" s="92"/>
      <c r="F77" s="92"/>
      <c r="G77" s="92"/>
      <c r="H77" s="92"/>
      <c r="I77" s="92"/>
      <c r="J77" s="91">
        <f t="shared" si="4"/>
        <v>0</v>
      </c>
      <c r="K77" s="92"/>
      <c r="L77" s="92"/>
      <c r="M77" s="92"/>
      <c r="N77" s="92"/>
      <c r="O77" s="91">
        <f t="shared" si="5"/>
        <v>0</v>
      </c>
      <c r="P77" s="92">
        <f t="shared" si="2"/>
        <v>0</v>
      </c>
    </row>
    <row r="78" spans="1:16" ht="196.5" hidden="1">
      <c r="A78" s="77"/>
      <c r="B78" s="77"/>
      <c r="C78" s="77"/>
      <c r="D78" s="67" t="s">
        <v>144</v>
      </c>
      <c r="E78" s="92"/>
      <c r="F78" s="92"/>
      <c r="G78" s="92"/>
      <c r="H78" s="92"/>
      <c r="I78" s="92"/>
      <c r="J78" s="91">
        <f t="shared" si="4"/>
        <v>0</v>
      </c>
      <c r="K78" s="92"/>
      <c r="L78" s="92"/>
      <c r="M78" s="92"/>
      <c r="N78" s="92"/>
      <c r="O78" s="91">
        <f t="shared" si="5"/>
        <v>0</v>
      </c>
      <c r="P78" s="92">
        <f t="shared" si="2"/>
        <v>0</v>
      </c>
    </row>
    <row r="79" spans="1:16" ht="221.25" hidden="1">
      <c r="A79" s="77"/>
      <c r="B79" s="77"/>
      <c r="C79" s="77"/>
      <c r="D79" s="100" t="s">
        <v>324</v>
      </c>
      <c r="E79" s="92">
        <f>F79</f>
        <v>1256800</v>
      </c>
      <c r="F79" s="92">
        <f>1256800</f>
        <v>1256800</v>
      </c>
      <c r="G79" s="92"/>
      <c r="H79" s="92">
        <v>1256800</v>
      </c>
      <c r="I79" s="92"/>
      <c r="J79" s="91"/>
      <c r="K79" s="92"/>
      <c r="L79" s="92"/>
      <c r="M79" s="92"/>
      <c r="N79" s="92"/>
      <c r="O79" s="91"/>
      <c r="P79" s="92">
        <f t="shared" si="2"/>
        <v>1256800</v>
      </c>
    </row>
    <row r="80" spans="1:16" ht="147" hidden="1">
      <c r="A80" s="77"/>
      <c r="B80" s="77"/>
      <c r="C80" s="77"/>
      <c r="D80" s="102" t="s">
        <v>337</v>
      </c>
      <c r="E80" s="92"/>
      <c r="F80" s="92"/>
      <c r="G80" s="92"/>
      <c r="H80" s="92"/>
      <c r="I80" s="92"/>
      <c r="J80" s="91">
        <f>K80+L80</f>
        <v>0</v>
      </c>
      <c r="K80" s="92"/>
      <c r="L80" s="92"/>
      <c r="M80" s="92"/>
      <c r="N80" s="92">
        <f>K80</f>
        <v>0</v>
      </c>
      <c r="O80" s="91"/>
      <c r="P80" s="92">
        <f t="shared" si="2"/>
        <v>0</v>
      </c>
    </row>
    <row r="81" spans="1:16" ht="147.75" hidden="1" thickBot="1">
      <c r="A81" s="77"/>
      <c r="B81" s="77"/>
      <c r="C81" s="77"/>
      <c r="D81" s="70" t="s">
        <v>565</v>
      </c>
      <c r="E81" s="92">
        <f>F81</f>
        <v>238286</v>
      </c>
      <c r="F81" s="92">
        <f>15190+223096</f>
        <v>238286</v>
      </c>
      <c r="G81" s="92"/>
      <c r="H81" s="92"/>
      <c r="I81" s="92"/>
      <c r="J81" s="91">
        <f>K81+L81</f>
        <v>479017</v>
      </c>
      <c r="K81" s="92">
        <f>132769+346248</f>
        <v>479017</v>
      </c>
      <c r="L81" s="92"/>
      <c r="M81" s="92"/>
      <c r="N81" s="92"/>
      <c r="O81" s="91">
        <f>K81</f>
        <v>479017</v>
      </c>
      <c r="P81" s="92">
        <f t="shared" si="2"/>
        <v>717303</v>
      </c>
    </row>
    <row r="82" spans="1:16" ht="24" hidden="1">
      <c r="A82" s="77"/>
      <c r="B82" s="77"/>
      <c r="C82" s="77"/>
      <c r="D82" s="57" t="s">
        <v>52</v>
      </c>
      <c r="E82" s="92">
        <f aca="true" t="shared" si="14" ref="E82:E91">F82</f>
        <v>55968037</v>
      </c>
      <c r="F82" s="92">
        <f>51371014+2284676-671908+2418084+1380210-1256800+34340+38094+517478-45716-3313+6510-105436+804</f>
        <v>55968037</v>
      </c>
      <c r="G82" s="92">
        <f>26001972+1356916+1439271</f>
        <v>28798159</v>
      </c>
      <c r="H82" s="92">
        <f>15460808+607240-671909+503340-1256800</f>
        <v>14642679</v>
      </c>
      <c r="I82" s="92"/>
      <c r="J82" s="91">
        <f t="shared" si="4"/>
        <v>3161818</v>
      </c>
      <c r="K82" s="92">
        <f>148120+56901+232</f>
        <v>205253</v>
      </c>
      <c r="L82" s="92">
        <f>2719655+24750+212160</f>
        <v>2956565</v>
      </c>
      <c r="M82" s="92">
        <f>1124382+247366</f>
        <v>1371748</v>
      </c>
      <c r="N82" s="92">
        <f>35707</f>
        <v>35707</v>
      </c>
      <c r="O82" s="91">
        <f t="shared" si="5"/>
        <v>205253</v>
      </c>
      <c r="P82" s="92">
        <f t="shared" si="2"/>
        <v>59129855</v>
      </c>
    </row>
    <row r="83" spans="1:16" ht="123">
      <c r="A83" s="77" t="s">
        <v>145</v>
      </c>
      <c r="B83" s="77" t="s">
        <v>73</v>
      </c>
      <c r="C83" s="77" t="s">
        <v>146</v>
      </c>
      <c r="D83" s="57" t="s">
        <v>342</v>
      </c>
      <c r="E83" s="92">
        <f t="shared" si="14"/>
        <v>6261129</v>
      </c>
      <c r="F83" s="92">
        <f>6250010+11119</f>
        <v>6261129</v>
      </c>
      <c r="G83" s="92">
        <v>5836040</v>
      </c>
      <c r="H83" s="92">
        <v>348110</v>
      </c>
      <c r="I83" s="92"/>
      <c r="J83" s="91">
        <f t="shared" si="4"/>
        <v>0</v>
      </c>
      <c r="K83" s="92"/>
      <c r="L83" s="92"/>
      <c r="M83" s="92"/>
      <c r="N83" s="92"/>
      <c r="O83" s="91">
        <f t="shared" si="5"/>
        <v>0</v>
      </c>
      <c r="P83" s="92">
        <f t="shared" si="2"/>
        <v>6261129</v>
      </c>
    </row>
    <row r="84" spans="1:16" ht="48.75">
      <c r="A84" s="77" t="s">
        <v>147</v>
      </c>
      <c r="B84" s="77" t="s">
        <v>148</v>
      </c>
      <c r="C84" s="77" t="s">
        <v>149</v>
      </c>
      <c r="D84" s="57" t="s">
        <v>343</v>
      </c>
      <c r="E84" s="92">
        <f t="shared" si="14"/>
        <v>1453177</v>
      </c>
      <c r="F84" s="92">
        <v>1453177</v>
      </c>
      <c r="G84" s="92">
        <v>1381902</v>
      </c>
      <c r="H84" s="92">
        <v>44964</v>
      </c>
      <c r="I84" s="92"/>
      <c r="J84" s="91">
        <f t="shared" si="4"/>
        <v>0</v>
      </c>
      <c r="K84" s="92"/>
      <c r="L84" s="92"/>
      <c r="M84" s="92"/>
      <c r="N84" s="92"/>
      <c r="O84" s="91">
        <f t="shared" si="5"/>
        <v>0</v>
      </c>
      <c r="P84" s="92">
        <f t="shared" si="2"/>
        <v>1453177</v>
      </c>
    </row>
    <row r="85" spans="1:16" ht="73.5">
      <c r="A85" s="77" t="s">
        <v>150</v>
      </c>
      <c r="B85" s="77" t="s">
        <v>151</v>
      </c>
      <c r="C85" s="77" t="s">
        <v>149</v>
      </c>
      <c r="D85" s="68" t="s">
        <v>152</v>
      </c>
      <c r="E85" s="92">
        <f t="shared" si="14"/>
        <v>2446516</v>
      </c>
      <c r="F85" s="92">
        <v>2446516</v>
      </c>
      <c r="G85" s="92">
        <f>2067809+229809</f>
        <v>2297618</v>
      </c>
      <c r="H85" s="92">
        <v>76668</v>
      </c>
      <c r="I85" s="92"/>
      <c r="J85" s="91">
        <f t="shared" si="4"/>
        <v>35000</v>
      </c>
      <c r="K85" s="92">
        <f>35000</f>
        <v>35000</v>
      </c>
      <c r="L85" s="92"/>
      <c r="M85" s="92"/>
      <c r="N85" s="92"/>
      <c r="O85" s="91">
        <f t="shared" si="5"/>
        <v>35000</v>
      </c>
      <c r="P85" s="92">
        <f t="shared" si="2"/>
        <v>2481516</v>
      </c>
    </row>
    <row r="86" spans="1:16" ht="48.75">
      <c r="A86" s="77" t="s">
        <v>153</v>
      </c>
      <c r="B86" s="77" t="s">
        <v>154</v>
      </c>
      <c r="C86" s="77" t="s">
        <v>149</v>
      </c>
      <c r="D86" s="57" t="s">
        <v>155</v>
      </c>
      <c r="E86" s="91">
        <f t="shared" si="14"/>
        <v>30770</v>
      </c>
      <c r="F86" s="91">
        <v>30770</v>
      </c>
      <c r="G86" s="91"/>
      <c r="H86" s="91"/>
      <c r="I86" s="91"/>
      <c r="J86" s="91">
        <f t="shared" si="4"/>
        <v>0</v>
      </c>
      <c r="K86" s="91"/>
      <c r="L86" s="91"/>
      <c r="M86" s="91"/>
      <c r="N86" s="91"/>
      <c r="O86" s="91">
        <f t="shared" si="5"/>
        <v>0</v>
      </c>
      <c r="P86" s="92">
        <f t="shared" si="2"/>
        <v>30770</v>
      </c>
    </row>
    <row r="87" spans="1:16" ht="73.5">
      <c r="A87" s="77" t="s">
        <v>156</v>
      </c>
      <c r="B87" s="77" t="s">
        <v>157</v>
      </c>
      <c r="C87" s="77" t="s">
        <v>149</v>
      </c>
      <c r="D87" s="57" t="s">
        <v>158</v>
      </c>
      <c r="E87" s="96">
        <f>SUM(E88:E89)</f>
        <v>1137204</v>
      </c>
      <c r="F87" s="96">
        <f aca="true" t="shared" si="15" ref="F87:O87">SUM(F88:F89)</f>
        <v>1137204</v>
      </c>
      <c r="G87" s="96">
        <f t="shared" si="15"/>
        <v>1068076</v>
      </c>
      <c r="H87" s="96">
        <f t="shared" si="15"/>
        <v>63385</v>
      </c>
      <c r="I87" s="96">
        <f t="shared" si="15"/>
        <v>0</v>
      </c>
      <c r="J87" s="96">
        <f t="shared" si="15"/>
        <v>0</v>
      </c>
      <c r="K87" s="96">
        <f t="shared" si="15"/>
        <v>0</v>
      </c>
      <c r="L87" s="96">
        <f t="shared" si="15"/>
        <v>0</v>
      </c>
      <c r="M87" s="96">
        <f t="shared" si="15"/>
        <v>0</v>
      </c>
      <c r="N87" s="96">
        <f t="shared" si="15"/>
        <v>0</v>
      </c>
      <c r="O87" s="96">
        <f t="shared" si="15"/>
        <v>0</v>
      </c>
      <c r="P87" s="92">
        <f>E87+J87</f>
        <v>1137204</v>
      </c>
    </row>
    <row r="88" spans="1:16" ht="123" hidden="1">
      <c r="A88" s="80"/>
      <c r="B88" s="80"/>
      <c r="C88" s="80"/>
      <c r="D88" s="69" t="s">
        <v>325</v>
      </c>
      <c r="E88" s="97">
        <f>F88</f>
        <v>882064</v>
      </c>
      <c r="F88" s="97">
        <f>844767+37297</f>
        <v>882064</v>
      </c>
      <c r="G88" s="97">
        <f>844767+37297</f>
        <v>882064</v>
      </c>
      <c r="H88" s="97"/>
      <c r="I88" s="97"/>
      <c r="J88" s="97"/>
      <c r="K88" s="97"/>
      <c r="L88" s="97"/>
      <c r="M88" s="97"/>
      <c r="N88" s="97"/>
      <c r="O88" s="97"/>
      <c r="P88" s="92">
        <f>E88+J88</f>
        <v>882064</v>
      </c>
    </row>
    <row r="89" spans="1:16" ht="24" hidden="1">
      <c r="A89" s="80"/>
      <c r="B89" s="80"/>
      <c r="C89" s="80"/>
      <c r="D89" s="69" t="s">
        <v>52</v>
      </c>
      <c r="E89" s="91">
        <f>F89</f>
        <v>255140</v>
      </c>
      <c r="F89" s="91">
        <v>255140</v>
      </c>
      <c r="G89" s="91">
        <v>186012</v>
      </c>
      <c r="H89" s="91">
        <v>63385</v>
      </c>
      <c r="I89" s="97"/>
      <c r="J89" s="97"/>
      <c r="K89" s="97"/>
      <c r="L89" s="97"/>
      <c r="M89" s="97"/>
      <c r="N89" s="97"/>
      <c r="O89" s="97"/>
      <c r="P89" s="92">
        <f>E89+J89</f>
        <v>255140</v>
      </c>
    </row>
    <row r="90" spans="1:16" ht="48.75">
      <c r="A90" s="80" t="s">
        <v>367</v>
      </c>
      <c r="B90" s="80" t="s">
        <v>368</v>
      </c>
      <c r="C90" s="80" t="s">
        <v>369</v>
      </c>
      <c r="D90" s="69" t="s">
        <v>370</v>
      </c>
      <c r="E90" s="97">
        <f>F90</f>
        <v>2880</v>
      </c>
      <c r="F90" s="97">
        <v>2880</v>
      </c>
      <c r="G90" s="97">
        <v>2880</v>
      </c>
      <c r="H90" s="97"/>
      <c r="I90" s="97"/>
      <c r="J90" s="97"/>
      <c r="K90" s="97"/>
      <c r="L90" s="97"/>
      <c r="M90" s="97"/>
      <c r="N90" s="97"/>
      <c r="O90" s="97"/>
      <c r="P90" s="98">
        <f>E90+J90</f>
        <v>2880</v>
      </c>
    </row>
    <row r="91" spans="1:16" ht="98.25">
      <c r="A91" s="77" t="s">
        <v>159</v>
      </c>
      <c r="B91" s="77" t="s">
        <v>160</v>
      </c>
      <c r="C91" s="77" t="s">
        <v>161</v>
      </c>
      <c r="D91" s="57" t="s">
        <v>162</v>
      </c>
      <c r="E91" s="91">
        <f t="shared" si="14"/>
        <v>3030040</v>
      </c>
      <c r="F91" s="91">
        <f>2698420+331620</f>
        <v>3030040</v>
      </c>
      <c r="G91" s="91">
        <f>2269819+331620</f>
        <v>2601439</v>
      </c>
      <c r="H91" s="91">
        <v>362470</v>
      </c>
      <c r="I91" s="91"/>
      <c r="J91" s="91">
        <f t="shared" si="4"/>
        <v>10000</v>
      </c>
      <c r="K91" s="91">
        <f>10000</f>
        <v>10000</v>
      </c>
      <c r="L91" s="91"/>
      <c r="M91" s="91"/>
      <c r="N91" s="91"/>
      <c r="O91" s="91">
        <f t="shared" si="5"/>
        <v>10000</v>
      </c>
      <c r="P91" s="92">
        <f t="shared" si="2"/>
        <v>3040040</v>
      </c>
    </row>
    <row r="92" spans="1:16" ht="48.75">
      <c r="A92" s="77" t="s">
        <v>345</v>
      </c>
      <c r="B92" s="77" t="s">
        <v>346</v>
      </c>
      <c r="C92" s="77" t="s">
        <v>99</v>
      </c>
      <c r="D92" s="57" t="s">
        <v>347</v>
      </c>
      <c r="E92" s="91"/>
      <c r="F92" s="91"/>
      <c r="G92" s="91"/>
      <c r="H92" s="91"/>
      <c r="I92" s="91"/>
      <c r="J92" s="91">
        <f aca="true" t="shared" si="16" ref="J92:O92">J94+J95</f>
        <v>6532510</v>
      </c>
      <c r="K92" s="91">
        <f t="shared" si="16"/>
        <v>6532510</v>
      </c>
      <c r="L92" s="91">
        <f t="shared" si="16"/>
        <v>0</v>
      </c>
      <c r="M92" s="91">
        <f t="shared" si="16"/>
        <v>0</v>
      </c>
      <c r="N92" s="91">
        <f t="shared" si="16"/>
        <v>0</v>
      </c>
      <c r="O92" s="91">
        <f t="shared" si="16"/>
        <v>6532510</v>
      </c>
      <c r="P92" s="92">
        <f t="shared" si="2"/>
        <v>6532510</v>
      </c>
    </row>
    <row r="93" spans="1:16" ht="123" hidden="1">
      <c r="A93" s="77" t="s">
        <v>312</v>
      </c>
      <c r="B93" s="77" t="s">
        <v>313</v>
      </c>
      <c r="C93" s="77" t="s">
        <v>100</v>
      </c>
      <c r="D93" s="57" t="s">
        <v>314</v>
      </c>
      <c r="E93" s="91"/>
      <c r="F93" s="91"/>
      <c r="G93" s="91"/>
      <c r="H93" s="91"/>
      <c r="I93" s="91"/>
      <c r="J93" s="91">
        <f t="shared" si="4"/>
        <v>0</v>
      </c>
      <c r="K93" s="91">
        <f>597771-597771</f>
        <v>0</v>
      </c>
      <c r="L93" s="91"/>
      <c r="M93" s="91"/>
      <c r="N93" s="91"/>
      <c r="O93" s="91">
        <f>K93</f>
        <v>0</v>
      </c>
      <c r="P93" s="92">
        <f t="shared" si="2"/>
        <v>0</v>
      </c>
    </row>
    <row r="94" spans="1:16" ht="24" hidden="1">
      <c r="A94" s="77"/>
      <c r="B94" s="77"/>
      <c r="C94" s="77"/>
      <c r="D94" s="57" t="s">
        <v>564</v>
      </c>
      <c r="E94" s="91"/>
      <c r="F94" s="91"/>
      <c r="G94" s="91"/>
      <c r="H94" s="91"/>
      <c r="I94" s="91"/>
      <c r="J94" s="91">
        <f>O94+L94</f>
        <v>6436869</v>
      </c>
      <c r="K94" s="91">
        <f>458596+3586541+251261+46683+2049486+40989+3313</f>
        <v>6436869</v>
      </c>
      <c r="L94" s="91"/>
      <c r="M94" s="91"/>
      <c r="N94" s="91"/>
      <c r="O94" s="91">
        <f>K94</f>
        <v>6436869</v>
      </c>
      <c r="P94" s="92">
        <f t="shared" si="2"/>
        <v>6436869</v>
      </c>
    </row>
    <row r="95" spans="1:16" ht="147.75" hidden="1" thickBot="1">
      <c r="A95" s="79"/>
      <c r="B95" s="79"/>
      <c r="C95" s="79"/>
      <c r="D95" s="70" t="s">
        <v>565</v>
      </c>
      <c r="E95" s="94"/>
      <c r="F95" s="94"/>
      <c r="G95" s="94"/>
      <c r="H95" s="94"/>
      <c r="I95" s="94"/>
      <c r="J95" s="94">
        <f>O95+L95</f>
        <v>95641</v>
      </c>
      <c r="K95" s="94">
        <f>95641</f>
        <v>95641</v>
      </c>
      <c r="L95" s="94"/>
      <c r="M95" s="94"/>
      <c r="N95" s="94"/>
      <c r="O95" s="94">
        <f>K95</f>
        <v>95641</v>
      </c>
      <c r="P95" s="93">
        <f t="shared" si="2"/>
        <v>95641</v>
      </c>
    </row>
    <row r="96" spans="1:16" s="15" customFormat="1" ht="125.25" customHeight="1">
      <c r="A96" s="75" t="s">
        <v>163</v>
      </c>
      <c r="B96" s="75"/>
      <c r="C96" s="75"/>
      <c r="D96" s="54" t="s">
        <v>164</v>
      </c>
      <c r="E96" s="95">
        <f aca="true" t="shared" si="17" ref="E96:N96">E97</f>
        <v>23589988</v>
      </c>
      <c r="F96" s="95">
        <f t="shared" si="17"/>
        <v>23589988</v>
      </c>
      <c r="G96" s="95">
        <f t="shared" si="17"/>
        <v>16753978</v>
      </c>
      <c r="H96" s="95">
        <f t="shared" si="17"/>
        <v>711081</v>
      </c>
      <c r="I96" s="95">
        <f t="shared" si="17"/>
        <v>0</v>
      </c>
      <c r="J96" s="95">
        <f t="shared" si="17"/>
        <v>110860</v>
      </c>
      <c r="K96" s="95">
        <f t="shared" si="17"/>
        <v>51460</v>
      </c>
      <c r="L96" s="95">
        <f t="shared" si="17"/>
        <v>59400</v>
      </c>
      <c r="M96" s="95">
        <f t="shared" si="17"/>
        <v>0</v>
      </c>
      <c r="N96" s="95">
        <f t="shared" si="17"/>
        <v>6588</v>
      </c>
      <c r="O96" s="95">
        <f t="shared" si="5"/>
        <v>51460</v>
      </c>
      <c r="P96" s="89">
        <f t="shared" si="2"/>
        <v>23700848</v>
      </c>
    </row>
    <row r="97" spans="1:16" s="15" customFormat="1" ht="128.25" customHeight="1">
      <c r="A97" s="76" t="s">
        <v>165</v>
      </c>
      <c r="B97" s="76"/>
      <c r="C97" s="76"/>
      <c r="D97" s="55" t="s">
        <v>164</v>
      </c>
      <c r="E97" s="99">
        <f aca="true" t="shared" si="18" ref="E97:N97">SUM(E98:E116)</f>
        <v>23589988</v>
      </c>
      <c r="F97" s="99">
        <f t="shared" si="18"/>
        <v>23589988</v>
      </c>
      <c r="G97" s="99">
        <f t="shared" si="18"/>
        <v>16753978</v>
      </c>
      <c r="H97" s="99">
        <f t="shared" si="18"/>
        <v>711081</v>
      </c>
      <c r="I97" s="192">
        <f t="shared" si="18"/>
        <v>0</v>
      </c>
      <c r="J97" s="99">
        <f t="shared" si="18"/>
        <v>110860</v>
      </c>
      <c r="K97" s="99">
        <f t="shared" si="18"/>
        <v>51460</v>
      </c>
      <c r="L97" s="99">
        <f t="shared" si="18"/>
        <v>59400</v>
      </c>
      <c r="M97" s="99">
        <f t="shared" si="18"/>
        <v>0</v>
      </c>
      <c r="N97" s="99">
        <f t="shared" si="18"/>
        <v>6588</v>
      </c>
      <c r="O97" s="99">
        <f t="shared" si="5"/>
        <v>51460</v>
      </c>
      <c r="P97" s="90">
        <f t="shared" si="2"/>
        <v>23700848</v>
      </c>
    </row>
    <row r="98" spans="1:16" ht="123">
      <c r="A98" s="77" t="s">
        <v>166</v>
      </c>
      <c r="B98" s="77" t="s">
        <v>130</v>
      </c>
      <c r="C98" s="77" t="s">
        <v>35</v>
      </c>
      <c r="D98" s="57" t="s">
        <v>131</v>
      </c>
      <c r="E98" s="91">
        <f aca="true" t="shared" si="19" ref="E98:E116">F98</f>
        <v>10965300</v>
      </c>
      <c r="F98" s="91">
        <f>10545242-4977+425035</f>
        <v>10965300</v>
      </c>
      <c r="G98" s="91">
        <f>10090886+425035</f>
        <v>10515921</v>
      </c>
      <c r="H98" s="91">
        <f>248614-4977</f>
        <v>243637</v>
      </c>
      <c r="I98" s="91"/>
      <c r="J98" s="91">
        <f t="shared" si="4"/>
        <v>0</v>
      </c>
      <c r="K98" s="91"/>
      <c r="L98" s="91"/>
      <c r="M98" s="91"/>
      <c r="N98" s="91"/>
      <c r="O98" s="91">
        <f t="shared" si="5"/>
        <v>0</v>
      </c>
      <c r="P98" s="92">
        <f t="shared" si="2"/>
        <v>10965300</v>
      </c>
    </row>
    <row r="99" spans="1:16" ht="98.25">
      <c r="A99" s="77" t="s">
        <v>276</v>
      </c>
      <c r="B99" s="77" t="s">
        <v>277</v>
      </c>
      <c r="C99" s="81" t="s">
        <v>69</v>
      </c>
      <c r="D99" s="56" t="s">
        <v>278</v>
      </c>
      <c r="E99" s="91">
        <f t="shared" si="19"/>
        <v>22260</v>
      </c>
      <c r="F99" s="91">
        <v>22260</v>
      </c>
      <c r="G99" s="91"/>
      <c r="H99" s="91"/>
      <c r="I99" s="91"/>
      <c r="J99" s="91">
        <f t="shared" si="4"/>
        <v>0</v>
      </c>
      <c r="K99" s="91"/>
      <c r="L99" s="91"/>
      <c r="M99" s="91"/>
      <c r="N99" s="91"/>
      <c r="O99" s="91">
        <f t="shared" si="5"/>
        <v>0</v>
      </c>
      <c r="P99" s="92">
        <f t="shared" si="2"/>
        <v>22260</v>
      </c>
    </row>
    <row r="100" spans="1:16" ht="73.5">
      <c r="A100" s="77" t="s">
        <v>279</v>
      </c>
      <c r="B100" s="77" t="s">
        <v>280</v>
      </c>
      <c r="C100" s="81" t="s">
        <v>281</v>
      </c>
      <c r="D100" s="56" t="s">
        <v>282</v>
      </c>
      <c r="E100" s="91">
        <f t="shared" si="19"/>
        <v>155360</v>
      </c>
      <c r="F100" s="91">
        <v>155360</v>
      </c>
      <c r="G100" s="91"/>
      <c r="H100" s="91"/>
      <c r="I100" s="91"/>
      <c r="J100" s="91">
        <f t="shared" si="4"/>
        <v>0</v>
      </c>
      <c r="K100" s="91"/>
      <c r="L100" s="91"/>
      <c r="M100" s="91"/>
      <c r="N100" s="91"/>
      <c r="O100" s="91">
        <f t="shared" si="5"/>
        <v>0</v>
      </c>
      <c r="P100" s="92">
        <f t="shared" si="2"/>
        <v>155360</v>
      </c>
    </row>
    <row r="101" spans="1:16" ht="123">
      <c r="A101" s="77" t="s">
        <v>283</v>
      </c>
      <c r="B101" s="77" t="s">
        <v>284</v>
      </c>
      <c r="C101" s="81" t="s">
        <v>281</v>
      </c>
      <c r="D101" s="56" t="s">
        <v>285</v>
      </c>
      <c r="E101" s="91">
        <f t="shared" si="19"/>
        <v>2800000</v>
      </c>
      <c r="F101" s="91">
        <v>2800000</v>
      </c>
      <c r="G101" s="91"/>
      <c r="H101" s="91"/>
      <c r="I101" s="91"/>
      <c r="J101" s="91">
        <f t="shared" si="4"/>
        <v>0</v>
      </c>
      <c r="K101" s="91"/>
      <c r="L101" s="91"/>
      <c r="M101" s="91"/>
      <c r="N101" s="91"/>
      <c r="O101" s="91">
        <f t="shared" si="5"/>
        <v>0</v>
      </c>
      <c r="P101" s="92">
        <f t="shared" si="2"/>
        <v>2800000</v>
      </c>
    </row>
    <row r="102" spans="1:16" ht="98.25">
      <c r="A102" s="80" t="s">
        <v>286</v>
      </c>
      <c r="B102" s="80" t="s">
        <v>287</v>
      </c>
      <c r="C102" s="80" t="s">
        <v>281</v>
      </c>
      <c r="D102" s="71" t="s">
        <v>288</v>
      </c>
      <c r="E102" s="91">
        <f t="shared" si="19"/>
        <v>153000</v>
      </c>
      <c r="F102" s="91">
        <v>153000</v>
      </c>
      <c r="G102" s="91"/>
      <c r="H102" s="91"/>
      <c r="I102" s="91"/>
      <c r="J102" s="91">
        <f t="shared" si="4"/>
        <v>0</v>
      </c>
      <c r="K102" s="91"/>
      <c r="L102" s="91"/>
      <c r="M102" s="91"/>
      <c r="N102" s="91"/>
      <c r="O102" s="91">
        <f t="shared" si="5"/>
        <v>0</v>
      </c>
      <c r="P102" s="92">
        <f t="shared" si="2"/>
        <v>153000</v>
      </c>
    </row>
    <row r="103" spans="1:16" ht="98.25">
      <c r="A103" s="77" t="s">
        <v>329</v>
      </c>
      <c r="B103" s="77" t="s">
        <v>330</v>
      </c>
      <c r="C103" s="77" t="s">
        <v>281</v>
      </c>
      <c r="D103" s="57" t="s">
        <v>331</v>
      </c>
      <c r="E103" s="91">
        <f t="shared" si="19"/>
        <v>81050</v>
      </c>
      <c r="F103" s="91">
        <v>81050</v>
      </c>
      <c r="G103" s="91"/>
      <c r="H103" s="91"/>
      <c r="I103" s="91"/>
      <c r="J103" s="91"/>
      <c r="K103" s="91"/>
      <c r="L103" s="91"/>
      <c r="M103" s="91"/>
      <c r="N103" s="91"/>
      <c r="O103" s="91"/>
      <c r="P103" s="92">
        <f t="shared" si="2"/>
        <v>81050</v>
      </c>
    </row>
    <row r="104" spans="1:16" ht="98.25">
      <c r="A104" s="77" t="s">
        <v>332</v>
      </c>
      <c r="B104" s="77" t="s">
        <v>333</v>
      </c>
      <c r="C104" s="77" t="s">
        <v>69</v>
      </c>
      <c r="D104" s="57" t="s">
        <v>334</v>
      </c>
      <c r="E104" s="91">
        <f t="shared" si="19"/>
        <v>65950</v>
      </c>
      <c r="F104" s="91">
        <v>65950</v>
      </c>
      <c r="G104" s="91"/>
      <c r="H104" s="91"/>
      <c r="I104" s="91"/>
      <c r="J104" s="91"/>
      <c r="K104" s="91"/>
      <c r="L104" s="91"/>
      <c r="M104" s="91"/>
      <c r="N104" s="91"/>
      <c r="O104" s="91"/>
      <c r="P104" s="92">
        <f>E104+J104</f>
        <v>65950</v>
      </c>
    </row>
    <row r="105" spans="1:16" ht="171.75">
      <c r="A105" s="77" t="s">
        <v>167</v>
      </c>
      <c r="B105" s="77" t="s">
        <v>168</v>
      </c>
      <c r="C105" s="77" t="s">
        <v>137</v>
      </c>
      <c r="D105" s="57" t="s">
        <v>169</v>
      </c>
      <c r="E105" s="91">
        <f t="shared" si="19"/>
        <v>4393281</v>
      </c>
      <c r="F105" s="91">
        <f>4383186+7112+2983</f>
        <v>4393281</v>
      </c>
      <c r="G105" s="91">
        <v>4147907</v>
      </c>
      <c r="H105" s="91">
        <v>230279</v>
      </c>
      <c r="I105" s="91"/>
      <c r="J105" s="91">
        <f t="shared" si="4"/>
        <v>59400</v>
      </c>
      <c r="K105" s="91"/>
      <c r="L105" s="91">
        <v>59400</v>
      </c>
      <c r="M105" s="91"/>
      <c r="N105" s="91">
        <v>6588</v>
      </c>
      <c r="O105" s="91">
        <f t="shared" si="5"/>
        <v>0</v>
      </c>
      <c r="P105" s="92">
        <f aca="true" t="shared" si="20" ref="P105:P179">E105+J105</f>
        <v>4452681</v>
      </c>
    </row>
    <row r="106" spans="1:16" ht="98.25">
      <c r="A106" s="77" t="s">
        <v>170</v>
      </c>
      <c r="B106" s="77" t="s">
        <v>171</v>
      </c>
      <c r="C106" s="77" t="s">
        <v>133</v>
      </c>
      <c r="D106" s="57" t="s">
        <v>172</v>
      </c>
      <c r="E106" s="91">
        <f t="shared" si="19"/>
        <v>1857265</v>
      </c>
      <c r="F106" s="91">
        <f>1855735+1530</f>
        <v>1857265</v>
      </c>
      <c r="G106" s="91">
        <v>1519206</v>
      </c>
      <c r="H106" s="91">
        <v>210332</v>
      </c>
      <c r="I106" s="91"/>
      <c r="J106" s="91">
        <f t="shared" si="4"/>
        <v>0</v>
      </c>
      <c r="K106" s="91"/>
      <c r="L106" s="91"/>
      <c r="M106" s="91"/>
      <c r="N106" s="91"/>
      <c r="O106" s="91">
        <f t="shared" si="5"/>
        <v>0</v>
      </c>
      <c r="P106" s="92">
        <f t="shared" si="20"/>
        <v>1857265</v>
      </c>
    </row>
    <row r="107" spans="1:16" ht="98.25">
      <c r="A107" s="77" t="s">
        <v>173</v>
      </c>
      <c r="B107" s="77" t="s">
        <v>174</v>
      </c>
      <c r="C107" s="77" t="s">
        <v>65</v>
      </c>
      <c r="D107" s="57" t="s">
        <v>175</v>
      </c>
      <c r="E107" s="91">
        <f t="shared" si="19"/>
        <v>620642</v>
      </c>
      <c r="F107" s="91">
        <f>605597+15045</f>
        <v>620642</v>
      </c>
      <c r="G107" s="91">
        <v>559424</v>
      </c>
      <c r="H107" s="91">
        <v>26833</v>
      </c>
      <c r="I107" s="91"/>
      <c r="J107" s="91">
        <f aca="true" t="shared" si="21" ref="J107:J178">L107+O107</f>
        <v>0</v>
      </c>
      <c r="K107" s="91"/>
      <c r="L107" s="91"/>
      <c r="M107" s="91"/>
      <c r="N107" s="91"/>
      <c r="O107" s="91">
        <f aca="true" t="shared" si="22" ref="O107:O178">K107</f>
        <v>0</v>
      </c>
      <c r="P107" s="92">
        <f t="shared" si="20"/>
        <v>620642</v>
      </c>
    </row>
    <row r="108" spans="1:16" ht="48.75">
      <c r="A108" s="77" t="s">
        <v>176</v>
      </c>
      <c r="B108" s="77" t="s">
        <v>177</v>
      </c>
      <c r="C108" s="77" t="s">
        <v>65</v>
      </c>
      <c r="D108" s="57" t="s">
        <v>178</v>
      </c>
      <c r="E108" s="91">
        <f t="shared" si="19"/>
        <v>5000</v>
      </c>
      <c r="F108" s="91">
        <v>5000</v>
      </c>
      <c r="G108" s="91"/>
      <c r="H108" s="91"/>
      <c r="I108" s="91"/>
      <c r="J108" s="91">
        <f t="shared" si="21"/>
        <v>0</v>
      </c>
      <c r="K108" s="91"/>
      <c r="L108" s="91"/>
      <c r="M108" s="91"/>
      <c r="N108" s="91"/>
      <c r="O108" s="91">
        <f t="shared" si="22"/>
        <v>0</v>
      </c>
      <c r="P108" s="92">
        <f t="shared" si="20"/>
        <v>5000</v>
      </c>
    </row>
    <row r="109" spans="1:16" ht="270">
      <c r="A109" s="77" t="s">
        <v>289</v>
      </c>
      <c r="B109" s="77" t="s">
        <v>290</v>
      </c>
      <c r="C109" s="77" t="s">
        <v>133</v>
      </c>
      <c r="D109" s="57" t="s">
        <v>291</v>
      </c>
      <c r="E109" s="91">
        <f t="shared" si="19"/>
        <v>606834</v>
      </c>
      <c r="F109" s="91">
        <v>606834</v>
      </c>
      <c r="G109" s="91"/>
      <c r="H109" s="91"/>
      <c r="I109" s="91"/>
      <c r="J109" s="91">
        <f t="shared" si="21"/>
        <v>0</v>
      </c>
      <c r="K109" s="91"/>
      <c r="L109" s="91"/>
      <c r="M109" s="91"/>
      <c r="N109" s="91"/>
      <c r="O109" s="91">
        <f t="shared" si="22"/>
        <v>0</v>
      </c>
      <c r="P109" s="92">
        <f t="shared" si="20"/>
        <v>606834</v>
      </c>
    </row>
    <row r="110" spans="1:16" ht="221.25">
      <c r="A110" s="82" t="s">
        <v>292</v>
      </c>
      <c r="B110" s="82" t="s">
        <v>293</v>
      </c>
      <c r="C110" s="82" t="s">
        <v>294</v>
      </c>
      <c r="D110" s="61" t="s">
        <v>295</v>
      </c>
      <c r="E110" s="91">
        <f t="shared" si="19"/>
        <v>310166</v>
      </c>
      <c r="F110" s="91">
        <v>310166</v>
      </c>
      <c r="G110" s="91"/>
      <c r="H110" s="91"/>
      <c r="I110" s="91"/>
      <c r="J110" s="91">
        <f t="shared" si="21"/>
        <v>0</v>
      </c>
      <c r="K110" s="91"/>
      <c r="L110" s="91"/>
      <c r="M110" s="91"/>
      <c r="N110" s="91"/>
      <c r="O110" s="91">
        <f t="shared" si="22"/>
        <v>0</v>
      </c>
      <c r="P110" s="92">
        <f t="shared" si="20"/>
        <v>310166</v>
      </c>
    </row>
    <row r="111" spans="1:16" ht="73.5">
      <c r="A111" s="77" t="s">
        <v>296</v>
      </c>
      <c r="B111" s="77" t="s">
        <v>68</v>
      </c>
      <c r="C111" s="77" t="s">
        <v>69</v>
      </c>
      <c r="D111" s="57" t="s">
        <v>70</v>
      </c>
      <c r="E111" s="91">
        <f t="shared" si="19"/>
        <v>303324</v>
      </c>
      <c r="F111" s="91">
        <f>253324+50000</f>
        <v>303324</v>
      </c>
      <c r="G111" s="91"/>
      <c r="H111" s="91"/>
      <c r="I111" s="91"/>
      <c r="J111" s="91">
        <f t="shared" si="21"/>
        <v>0</v>
      </c>
      <c r="K111" s="91"/>
      <c r="L111" s="91"/>
      <c r="M111" s="91"/>
      <c r="N111" s="91"/>
      <c r="O111" s="91">
        <f t="shared" si="22"/>
        <v>0</v>
      </c>
      <c r="P111" s="92">
        <f t="shared" si="20"/>
        <v>303324</v>
      </c>
    </row>
    <row r="112" spans="1:16" ht="147">
      <c r="A112" s="77" t="s">
        <v>297</v>
      </c>
      <c r="B112" s="77" t="s">
        <v>298</v>
      </c>
      <c r="C112" s="77" t="s">
        <v>69</v>
      </c>
      <c r="D112" s="57" t="s">
        <v>299</v>
      </c>
      <c r="E112" s="91">
        <f t="shared" si="19"/>
        <v>413958</v>
      </c>
      <c r="F112" s="91">
        <f>300000+100000+13958</f>
        <v>413958</v>
      </c>
      <c r="G112" s="91"/>
      <c r="H112" s="91"/>
      <c r="I112" s="91"/>
      <c r="J112" s="91">
        <f t="shared" si="21"/>
        <v>0</v>
      </c>
      <c r="K112" s="91"/>
      <c r="L112" s="91"/>
      <c r="M112" s="91"/>
      <c r="N112" s="91"/>
      <c r="O112" s="91">
        <f t="shared" si="22"/>
        <v>0</v>
      </c>
      <c r="P112" s="92">
        <f t="shared" si="20"/>
        <v>413958</v>
      </c>
    </row>
    <row r="113" spans="1:16" ht="48.75">
      <c r="A113" s="80" t="s">
        <v>391</v>
      </c>
      <c r="B113" s="80" t="s">
        <v>368</v>
      </c>
      <c r="C113" s="80" t="s">
        <v>369</v>
      </c>
      <c r="D113" s="69" t="s">
        <v>370</v>
      </c>
      <c r="E113" s="91">
        <f t="shared" si="19"/>
        <v>11520</v>
      </c>
      <c r="F113" s="91">
        <v>11520</v>
      </c>
      <c r="G113" s="91">
        <v>11520</v>
      </c>
      <c r="H113" s="91"/>
      <c r="I113" s="91"/>
      <c r="J113" s="91"/>
      <c r="K113" s="91"/>
      <c r="L113" s="91"/>
      <c r="M113" s="91"/>
      <c r="N113" s="91"/>
      <c r="O113" s="91"/>
      <c r="P113" s="92">
        <f t="shared" si="20"/>
        <v>11520</v>
      </c>
    </row>
    <row r="114" spans="1:16" ht="73.5">
      <c r="A114" s="80" t="s">
        <v>300</v>
      </c>
      <c r="B114" s="80" t="s">
        <v>72</v>
      </c>
      <c r="C114" s="80" t="s">
        <v>73</v>
      </c>
      <c r="D114" s="69" t="s">
        <v>74</v>
      </c>
      <c r="E114" s="91">
        <f t="shared" si="19"/>
        <v>789380</v>
      </c>
      <c r="F114" s="91">
        <v>789380</v>
      </c>
      <c r="G114" s="91"/>
      <c r="H114" s="91"/>
      <c r="I114" s="91"/>
      <c r="J114" s="91">
        <f t="shared" si="21"/>
        <v>0</v>
      </c>
      <c r="K114" s="91"/>
      <c r="L114" s="91"/>
      <c r="M114" s="91"/>
      <c r="N114" s="91"/>
      <c r="O114" s="91">
        <f t="shared" si="22"/>
        <v>0</v>
      </c>
      <c r="P114" s="92">
        <f t="shared" si="20"/>
        <v>789380</v>
      </c>
    </row>
    <row r="115" spans="1:16" ht="48.75">
      <c r="A115" s="80" t="s">
        <v>390</v>
      </c>
      <c r="B115" s="80" t="s">
        <v>258</v>
      </c>
      <c r="C115" s="80" t="s">
        <v>99</v>
      </c>
      <c r="D115" s="69" t="s">
        <v>339</v>
      </c>
      <c r="E115" s="97"/>
      <c r="F115" s="97"/>
      <c r="G115" s="97"/>
      <c r="H115" s="97"/>
      <c r="I115" s="97"/>
      <c r="J115" s="91">
        <f t="shared" si="21"/>
        <v>51460</v>
      </c>
      <c r="K115" s="97">
        <f>51460</f>
        <v>51460</v>
      </c>
      <c r="L115" s="97"/>
      <c r="M115" s="97"/>
      <c r="N115" s="97"/>
      <c r="O115" s="91">
        <f t="shared" si="22"/>
        <v>51460</v>
      </c>
      <c r="P115" s="92">
        <f t="shared" si="20"/>
        <v>51460</v>
      </c>
    </row>
    <row r="116" spans="1:16" ht="49.5" thickBot="1">
      <c r="A116" s="79" t="s">
        <v>301</v>
      </c>
      <c r="B116" s="79" t="s">
        <v>109</v>
      </c>
      <c r="C116" s="79" t="s">
        <v>100</v>
      </c>
      <c r="D116" s="70" t="s">
        <v>110</v>
      </c>
      <c r="E116" s="94">
        <f t="shared" si="19"/>
        <v>35698</v>
      </c>
      <c r="F116" s="94">
        <v>35698</v>
      </c>
      <c r="G116" s="94"/>
      <c r="H116" s="94"/>
      <c r="I116" s="94"/>
      <c r="J116" s="94">
        <f t="shared" si="21"/>
        <v>0</v>
      </c>
      <c r="K116" s="94"/>
      <c r="L116" s="94"/>
      <c r="M116" s="94"/>
      <c r="N116" s="94"/>
      <c r="O116" s="94">
        <f t="shared" si="22"/>
        <v>0</v>
      </c>
      <c r="P116" s="93">
        <f t="shared" si="20"/>
        <v>35698</v>
      </c>
    </row>
    <row r="117" spans="1:16" s="15" customFormat="1" ht="72">
      <c r="A117" s="75" t="s">
        <v>179</v>
      </c>
      <c r="B117" s="75"/>
      <c r="C117" s="75"/>
      <c r="D117" s="54" t="s">
        <v>180</v>
      </c>
      <c r="E117" s="95">
        <f>E118</f>
        <v>33504588</v>
      </c>
      <c r="F117" s="95">
        <f aca="true" t="shared" si="23" ref="F117:N117">F118</f>
        <v>33504588</v>
      </c>
      <c r="G117" s="95">
        <f t="shared" si="23"/>
        <v>27732368</v>
      </c>
      <c r="H117" s="95">
        <f t="shared" si="23"/>
        <v>3633904</v>
      </c>
      <c r="I117" s="95">
        <f t="shared" si="23"/>
        <v>0</v>
      </c>
      <c r="J117" s="95">
        <f t="shared" si="23"/>
        <v>4134562</v>
      </c>
      <c r="K117" s="95">
        <f t="shared" si="23"/>
        <v>3027217</v>
      </c>
      <c r="L117" s="95">
        <f t="shared" si="23"/>
        <v>1107345</v>
      </c>
      <c r="M117" s="95">
        <f t="shared" si="23"/>
        <v>916905</v>
      </c>
      <c r="N117" s="95">
        <f t="shared" si="23"/>
        <v>18741</v>
      </c>
      <c r="O117" s="95">
        <f t="shared" si="22"/>
        <v>3027217</v>
      </c>
      <c r="P117" s="89">
        <f t="shared" si="20"/>
        <v>37639150</v>
      </c>
    </row>
    <row r="118" spans="1:16" s="15" customFormat="1" ht="72">
      <c r="A118" s="75" t="s">
        <v>181</v>
      </c>
      <c r="B118" s="75"/>
      <c r="C118" s="75"/>
      <c r="D118" s="54" t="s">
        <v>180</v>
      </c>
      <c r="E118" s="99">
        <f>SUM(E119:E128)</f>
        <v>33504588</v>
      </c>
      <c r="F118" s="99">
        <f aca="true" t="shared" si="24" ref="F118:N118">SUM(F119:F128)</f>
        <v>33504588</v>
      </c>
      <c r="G118" s="99">
        <f t="shared" si="24"/>
        <v>27732368</v>
      </c>
      <c r="H118" s="99">
        <f t="shared" si="24"/>
        <v>3633904</v>
      </c>
      <c r="I118" s="99">
        <f t="shared" si="24"/>
        <v>0</v>
      </c>
      <c r="J118" s="99">
        <f t="shared" si="24"/>
        <v>4134562</v>
      </c>
      <c r="K118" s="99">
        <f t="shared" si="24"/>
        <v>3027217</v>
      </c>
      <c r="L118" s="99">
        <f t="shared" si="24"/>
        <v>1107345</v>
      </c>
      <c r="M118" s="99">
        <f t="shared" si="24"/>
        <v>916905</v>
      </c>
      <c r="N118" s="99">
        <f t="shared" si="24"/>
        <v>18741</v>
      </c>
      <c r="O118" s="99">
        <f t="shared" si="22"/>
        <v>3027217</v>
      </c>
      <c r="P118" s="90">
        <f t="shared" si="20"/>
        <v>37639150</v>
      </c>
    </row>
    <row r="119" spans="1:16" ht="123">
      <c r="A119" s="77" t="s">
        <v>182</v>
      </c>
      <c r="B119" s="77" t="s">
        <v>130</v>
      </c>
      <c r="C119" s="77" t="s">
        <v>35</v>
      </c>
      <c r="D119" s="57" t="s">
        <v>131</v>
      </c>
      <c r="E119" s="91">
        <f>F119</f>
        <v>859364</v>
      </c>
      <c r="F119" s="91">
        <f>820650+38714</f>
        <v>859364</v>
      </c>
      <c r="G119" s="91">
        <f>784745+38714</f>
        <v>823459</v>
      </c>
      <c r="H119" s="91">
        <v>17505</v>
      </c>
      <c r="I119" s="91"/>
      <c r="J119" s="91">
        <f t="shared" si="21"/>
        <v>0</v>
      </c>
      <c r="K119" s="91"/>
      <c r="L119" s="91"/>
      <c r="M119" s="91"/>
      <c r="N119" s="91"/>
      <c r="O119" s="91">
        <f t="shared" si="22"/>
        <v>0</v>
      </c>
      <c r="P119" s="92">
        <f t="shared" si="20"/>
        <v>859364</v>
      </c>
    </row>
    <row r="120" spans="1:16" ht="48.75">
      <c r="A120" s="77" t="s">
        <v>183</v>
      </c>
      <c r="B120" s="77" t="s">
        <v>184</v>
      </c>
      <c r="C120" s="77" t="s">
        <v>146</v>
      </c>
      <c r="D120" s="57" t="s">
        <v>344</v>
      </c>
      <c r="E120" s="91">
        <f>F120</f>
        <v>15256109</v>
      </c>
      <c r="F120" s="91">
        <f>15295783-52260+12586</f>
        <v>15256109</v>
      </c>
      <c r="G120" s="91">
        <v>13634760</v>
      </c>
      <c r="H120" s="91">
        <f>1521252+70866-52260</f>
        <v>1539858</v>
      </c>
      <c r="I120" s="91"/>
      <c r="J120" s="91">
        <f t="shared" si="21"/>
        <v>924685</v>
      </c>
      <c r="K120" s="91"/>
      <c r="L120" s="91">
        <v>924685</v>
      </c>
      <c r="M120" s="91">
        <v>898605</v>
      </c>
      <c r="N120" s="91">
        <v>5851</v>
      </c>
      <c r="O120" s="91">
        <f t="shared" si="22"/>
        <v>0</v>
      </c>
      <c r="P120" s="92">
        <f t="shared" si="20"/>
        <v>16180794</v>
      </c>
    </row>
    <row r="121" spans="1:16" ht="48.75">
      <c r="A121" s="77" t="s">
        <v>185</v>
      </c>
      <c r="B121" s="77" t="s">
        <v>186</v>
      </c>
      <c r="C121" s="77" t="s">
        <v>187</v>
      </c>
      <c r="D121" s="57" t="s">
        <v>188</v>
      </c>
      <c r="E121" s="91">
        <f aca="true" t="shared" si="25" ref="E121:E128">F121</f>
        <v>4733411</v>
      </c>
      <c r="F121" s="91">
        <f>4687744-29863+114843-40000+687</f>
        <v>4733411</v>
      </c>
      <c r="G121" s="91">
        <f>4067055+118170-9969+94288</f>
        <v>4269544</v>
      </c>
      <c r="H121" s="91">
        <f>283262+29236-29863+11835</f>
        <v>294470</v>
      </c>
      <c r="I121" s="91"/>
      <c r="J121" s="91">
        <f t="shared" si="21"/>
        <v>48160</v>
      </c>
      <c r="K121" s="91">
        <f>40000</f>
        <v>40000</v>
      </c>
      <c r="L121" s="91">
        <v>8160</v>
      </c>
      <c r="M121" s="91"/>
      <c r="N121" s="91">
        <v>1370</v>
      </c>
      <c r="O121" s="91">
        <f t="shared" si="22"/>
        <v>40000</v>
      </c>
      <c r="P121" s="92">
        <f t="shared" si="20"/>
        <v>4781571</v>
      </c>
    </row>
    <row r="122" spans="1:16" ht="48.75">
      <c r="A122" s="77" t="s">
        <v>189</v>
      </c>
      <c r="B122" s="77" t="s">
        <v>190</v>
      </c>
      <c r="C122" s="77" t="s">
        <v>187</v>
      </c>
      <c r="D122" s="57" t="s">
        <v>191</v>
      </c>
      <c r="E122" s="91">
        <f t="shared" si="25"/>
        <v>1331910</v>
      </c>
      <c r="F122" s="91">
        <f>1259549-2738+22561+3440+22739+26359</f>
        <v>1331910</v>
      </c>
      <c r="G122" s="91">
        <f>738354+141385</f>
        <v>879739</v>
      </c>
      <c r="H122" s="91">
        <f>320686-2738</f>
        <v>317948</v>
      </c>
      <c r="I122" s="91"/>
      <c r="J122" s="91">
        <f t="shared" si="21"/>
        <v>14500</v>
      </c>
      <c r="K122" s="91"/>
      <c r="L122" s="91">
        <v>14500</v>
      </c>
      <c r="M122" s="91"/>
      <c r="N122" s="91"/>
      <c r="O122" s="91">
        <f t="shared" si="22"/>
        <v>0</v>
      </c>
      <c r="P122" s="92">
        <f t="shared" si="20"/>
        <v>1346410</v>
      </c>
    </row>
    <row r="123" spans="1:16" ht="134.25" customHeight="1">
      <c r="A123" s="77" t="s">
        <v>192</v>
      </c>
      <c r="B123" s="77" t="s">
        <v>193</v>
      </c>
      <c r="C123" s="77" t="s">
        <v>194</v>
      </c>
      <c r="D123" s="56" t="s">
        <v>195</v>
      </c>
      <c r="E123" s="91">
        <f t="shared" si="25"/>
        <v>8993748</v>
      </c>
      <c r="F123" s="91">
        <f>8222947-11199+682826+19422+33156+46596</f>
        <v>8993748</v>
      </c>
      <c r="G123" s="91">
        <f>6755061+423754</f>
        <v>7178815</v>
      </c>
      <c r="H123" s="91">
        <f>1180634+4828+13025+15467-11199+234527</f>
        <v>1437282</v>
      </c>
      <c r="I123" s="91"/>
      <c r="J123" s="91">
        <f t="shared" si="21"/>
        <v>1035682</v>
      </c>
      <c r="K123" s="91">
        <f>845082+30600</f>
        <v>875682</v>
      </c>
      <c r="L123" s="91">
        <v>160000</v>
      </c>
      <c r="M123" s="91">
        <v>18300</v>
      </c>
      <c r="N123" s="91">
        <v>11520</v>
      </c>
      <c r="O123" s="91">
        <f t="shared" si="22"/>
        <v>875682</v>
      </c>
      <c r="P123" s="92">
        <f t="shared" si="20"/>
        <v>10029430</v>
      </c>
    </row>
    <row r="124" spans="1:16" ht="73.5">
      <c r="A124" s="82" t="s">
        <v>196</v>
      </c>
      <c r="B124" s="82" t="s">
        <v>197</v>
      </c>
      <c r="C124" s="77" t="s">
        <v>198</v>
      </c>
      <c r="D124" s="67" t="s">
        <v>199</v>
      </c>
      <c r="E124" s="91">
        <f t="shared" si="25"/>
        <v>970918</v>
      </c>
      <c r="F124" s="91">
        <v>970918</v>
      </c>
      <c r="G124" s="91">
        <v>914514</v>
      </c>
      <c r="H124" s="91">
        <v>26841</v>
      </c>
      <c r="I124" s="91"/>
      <c r="J124" s="91">
        <f t="shared" si="21"/>
        <v>0</v>
      </c>
      <c r="K124" s="91"/>
      <c r="L124" s="91"/>
      <c r="M124" s="91"/>
      <c r="N124" s="91"/>
      <c r="O124" s="91">
        <f t="shared" si="22"/>
        <v>0</v>
      </c>
      <c r="P124" s="92">
        <f t="shared" si="20"/>
        <v>970918</v>
      </c>
    </row>
    <row r="125" spans="1:16" ht="48.75">
      <c r="A125" s="77" t="s">
        <v>200</v>
      </c>
      <c r="B125" s="77" t="s">
        <v>201</v>
      </c>
      <c r="C125" s="83" t="s">
        <v>198</v>
      </c>
      <c r="D125" s="57" t="s">
        <v>202</v>
      </c>
      <c r="E125" s="91">
        <f t="shared" si="25"/>
        <v>1199128</v>
      </c>
      <c r="F125" s="91">
        <f>1250850+47245-49869-49098</f>
        <v>1199128</v>
      </c>
      <c r="G125" s="91">
        <f>43615-12078</f>
        <v>31537</v>
      </c>
      <c r="H125" s="91"/>
      <c r="I125" s="91"/>
      <c r="J125" s="91">
        <f t="shared" si="21"/>
        <v>0</v>
      </c>
      <c r="K125" s="91"/>
      <c r="L125" s="91"/>
      <c r="M125" s="91"/>
      <c r="N125" s="91"/>
      <c r="O125" s="91">
        <f t="shared" si="22"/>
        <v>0</v>
      </c>
      <c r="P125" s="92">
        <f t="shared" si="20"/>
        <v>1199128</v>
      </c>
    </row>
    <row r="126" spans="1:16" ht="48.75">
      <c r="A126" s="80" t="s">
        <v>371</v>
      </c>
      <c r="B126" s="80" t="s">
        <v>372</v>
      </c>
      <c r="C126" s="107" t="s">
        <v>99</v>
      </c>
      <c r="D126" s="69" t="s">
        <v>373</v>
      </c>
      <c r="E126" s="97"/>
      <c r="F126" s="97"/>
      <c r="G126" s="97"/>
      <c r="H126" s="97"/>
      <c r="I126" s="97"/>
      <c r="J126" s="97">
        <f t="shared" si="21"/>
        <v>1911535</v>
      </c>
      <c r="K126" s="97">
        <f>297892+600000+1013643</f>
        <v>1911535</v>
      </c>
      <c r="L126" s="97"/>
      <c r="M126" s="97"/>
      <c r="N126" s="97"/>
      <c r="O126" s="97">
        <f>K126</f>
        <v>1911535</v>
      </c>
      <c r="P126" s="92">
        <f t="shared" si="20"/>
        <v>1911535</v>
      </c>
    </row>
    <row r="127" spans="1:16" ht="73.5">
      <c r="A127" s="80" t="s">
        <v>374</v>
      </c>
      <c r="B127" s="80" t="s">
        <v>375</v>
      </c>
      <c r="C127" s="107" t="s">
        <v>99</v>
      </c>
      <c r="D127" s="69" t="s">
        <v>376</v>
      </c>
      <c r="E127" s="97"/>
      <c r="F127" s="97"/>
      <c r="G127" s="97"/>
      <c r="H127" s="97"/>
      <c r="I127" s="97"/>
      <c r="J127" s="97">
        <f t="shared" si="21"/>
        <v>200000</v>
      </c>
      <c r="K127" s="97">
        <f>200000</f>
        <v>200000</v>
      </c>
      <c r="L127" s="97"/>
      <c r="M127" s="97"/>
      <c r="N127" s="97"/>
      <c r="O127" s="97">
        <f>K127</f>
        <v>200000</v>
      </c>
      <c r="P127" s="92">
        <f t="shared" si="20"/>
        <v>200000</v>
      </c>
    </row>
    <row r="128" spans="1:16" ht="49.5" thickBot="1">
      <c r="A128" s="79" t="s">
        <v>203</v>
      </c>
      <c r="B128" s="79" t="s">
        <v>204</v>
      </c>
      <c r="C128" s="79" t="s">
        <v>205</v>
      </c>
      <c r="D128" s="72" t="s">
        <v>206</v>
      </c>
      <c r="E128" s="94">
        <f t="shared" si="25"/>
        <v>160000</v>
      </c>
      <c r="F128" s="94">
        <f>80000+80000</f>
        <v>160000</v>
      </c>
      <c r="G128" s="94"/>
      <c r="H128" s="94"/>
      <c r="I128" s="94"/>
      <c r="J128" s="94">
        <f t="shared" si="21"/>
        <v>0</v>
      </c>
      <c r="K128" s="94"/>
      <c r="L128" s="94"/>
      <c r="M128" s="94"/>
      <c r="N128" s="94"/>
      <c r="O128" s="94">
        <f t="shared" si="22"/>
        <v>0</v>
      </c>
      <c r="P128" s="93">
        <f t="shared" si="20"/>
        <v>160000</v>
      </c>
    </row>
    <row r="129" spans="1:16" s="15" customFormat="1" ht="99.75" customHeight="1">
      <c r="A129" s="189" t="s">
        <v>207</v>
      </c>
      <c r="B129" s="190"/>
      <c r="C129" s="191"/>
      <c r="D129" s="54" t="s">
        <v>208</v>
      </c>
      <c r="E129" s="95">
        <f>E130</f>
        <v>10499102</v>
      </c>
      <c r="F129" s="95">
        <f aca="true" t="shared" si="26" ref="F129:N129">F130</f>
        <v>10499102</v>
      </c>
      <c r="G129" s="95">
        <f t="shared" si="26"/>
        <v>3878264</v>
      </c>
      <c r="H129" s="95">
        <f t="shared" si="26"/>
        <v>72537</v>
      </c>
      <c r="I129" s="95">
        <f t="shared" si="26"/>
        <v>0</v>
      </c>
      <c r="J129" s="95">
        <f t="shared" si="26"/>
        <v>1488615</v>
      </c>
      <c r="K129" s="95">
        <f t="shared" si="26"/>
        <v>1488615</v>
      </c>
      <c r="L129" s="95">
        <f t="shared" si="26"/>
        <v>0</v>
      </c>
      <c r="M129" s="95">
        <f t="shared" si="26"/>
        <v>0</v>
      </c>
      <c r="N129" s="95">
        <f t="shared" si="26"/>
        <v>0</v>
      </c>
      <c r="O129" s="95">
        <f t="shared" si="22"/>
        <v>1488615</v>
      </c>
      <c r="P129" s="89">
        <f t="shared" si="20"/>
        <v>11987717</v>
      </c>
    </row>
    <row r="130" spans="1:16" s="15" customFormat="1" ht="96">
      <c r="A130" s="76" t="s">
        <v>209</v>
      </c>
      <c r="B130" s="76"/>
      <c r="C130" s="76"/>
      <c r="D130" s="55" t="s">
        <v>208</v>
      </c>
      <c r="E130" s="99">
        <f>SUM(E131:E142)</f>
        <v>10499102</v>
      </c>
      <c r="F130" s="99">
        <f aca="true" t="shared" si="27" ref="F130:N130">SUM(F131:F142)</f>
        <v>10499102</v>
      </c>
      <c r="G130" s="99">
        <f t="shared" si="27"/>
        <v>3878264</v>
      </c>
      <c r="H130" s="99">
        <f t="shared" si="27"/>
        <v>72537</v>
      </c>
      <c r="I130" s="99">
        <f t="shared" si="27"/>
        <v>0</v>
      </c>
      <c r="J130" s="99">
        <f t="shared" si="27"/>
        <v>1488615</v>
      </c>
      <c r="K130" s="99">
        <f t="shared" si="27"/>
        <v>1488615</v>
      </c>
      <c r="L130" s="99">
        <f t="shared" si="27"/>
        <v>0</v>
      </c>
      <c r="M130" s="99">
        <f t="shared" si="27"/>
        <v>0</v>
      </c>
      <c r="N130" s="99">
        <f t="shared" si="27"/>
        <v>0</v>
      </c>
      <c r="O130" s="99">
        <f t="shared" si="22"/>
        <v>1488615</v>
      </c>
      <c r="P130" s="90">
        <f t="shared" si="20"/>
        <v>11987717</v>
      </c>
    </row>
    <row r="131" spans="1:16" ht="123">
      <c r="A131" s="77" t="s">
        <v>210</v>
      </c>
      <c r="B131" s="77" t="s">
        <v>130</v>
      </c>
      <c r="C131" s="77" t="s">
        <v>35</v>
      </c>
      <c r="D131" s="57" t="s">
        <v>131</v>
      </c>
      <c r="E131" s="91">
        <f aca="true" t="shared" si="28" ref="E131:E142">F131</f>
        <v>1075061</v>
      </c>
      <c r="F131" s="91">
        <f>1028030+47031</f>
        <v>1075061</v>
      </c>
      <c r="G131" s="91">
        <f>970553+47031</f>
        <v>1017584</v>
      </c>
      <c r="H131" s="91">
        <v>25477</v>
      </c>
      <c r="I131" s="91"/>
      <c r="J131" s="91">
        <f t="shared" si="21"/>
        <v>0</v>
      </c>
      <c r="K131" s="91"/>
      <c r="L131" s="91"/>
      <c r="M131" s="91"/>
      <c r="N131" s="91"/>
      <c r="O131" s="91">
        <f t="shared" si="22"/>
        <v>0</v>
      </c>
      <c r="P131" s="92">
        <f t="shared" si="20"/>
        <v>1075061</v>
      </c>
    </row>
    <row r="132" spans="1:16" ht="48.75">
      <c r="A132" s="77" t="s">
        <v>211</v>
      </c>
      <c r="B132" s="77" t="s">
        <v>212</v>
      </c>
      <c r="C132" s="77" t="s">
        <v>65</v>
      </c>
      <c r="D132" s="62" t="s">
        <v>213</v>
      </c>
      <c r="E132" s="91">
        <f t="shared" si="28"/>
        <v>70700</v>
      </c>
      <c r="F132" s="91">
        <v>70700</v>
      </c>
      <c r="G132" s="91"/>
      <c r="H132" s="91"/>
      <c r="I132" s="91"/>
      <c r="J132" s="91">
        <f t="shared" si="21"/>
        <v>0</v>
      </c>
      <c r="K132" s="91"/>
      <c r="L132" s="91"/>
      <c r="M132" s="91"/>
      <c r="N132" s="91"/>
      <c r="O132" s="91">
        <f t="shared" si="22"/>
        <v>0</v>
      </c>
      <c r="P132" s="92">
        <f t="shared" si="20"/>
        <v>70700</v>
      </c>
    </row>
    <row r="133" spans="1:16" ht="221.25">
      <c r="A133" s="77" t="s">
        <v>214</v>
      </c>
      <c r="B133" s="77" t="s">
        <v>215</v>
      </c>
      <c r="C133" s="77" t="s">
        <v>65</v>
      </c>
      <c r="D133" s="62" t="s">
        <v>216</v>
      </c>
      <c r="E133" s="91">
        <f t="shared" si="28"/>
        <v>361200</v>
      </c>
      <c r="F133" s="91">
        <f>361200</f>
        <v>361200</v>
      </c>
      <c r="G133" s="91"/>
      <c r="H133" s="91"/>
      <c r="I133" s="91"/>
      <c r="J133" s="91">
        <f t="shared" si="21"/>
        <v>0</v>
      </c>
      <c r="K133" s="91"/>
      <c r="L133" s="91"/>
      <c r="M133" s="91"/>
      <c r="N133" s="91"/>
      <c r="O133" s="91">
        <f t="shared" si="22"/>
        <v>0</v>
      </c>
      <c r="P133" s="92">
        <f t="shared" si="20"/>
        <v>361200</v>
      </c>
    </row>
    <row r="134" spans="1:16" ht="48.75">
      <c r="A134" s="77" t="s">
        <v>392</v>
      </c>
      <c r="B134" s="77" t="s">
        <v>368</v>
      </c>
      <c r="C134" s="77" t="s">
        <v>369</v>
      </c>
      <c r="D134" s="62" t="s">
        <v>370</v>
      </c>
      <c r="E134" s="91">
        <f>F134</f>
        <v>11520</v>
      </c>
      <c r="F134" s="91">
        <v>11520</v>
      </c>
      <c r="G134" s="91"/>
      <c r="H134" s="91"/>
      <c r="I134" s="91"/>
      <c r="J134" s="91"/>
      <c r="K134" s="91"/>
      <c r="L134" s="91"/>
      <c r="M134" s="91"/>
      <c r="N134" s="91"/>
      <c r="O134" s="91"/>
      <c r="P134" s="92">
        <f t="shared" si="20"/>
        <v>11520</v>
      </c>
    </row>
    <row r="135" spans="1:16" ht="98.25">
      <c r="A135" s="77" t="s">
        <v>217</v>
      </c>
      <c r="B135" s="77" t="s">
        <v>218</v>
      </c>
      <c r="C135" s="77" t="s">
        <v>161</v>
      </c>
      <c r="D135" s="57" t="s">
        <v>219</v>
      </c>
      <c r="E135" s="91">
        <f t="shared" si="28"/>
        <v>318210</v>
      </c>
      <c r="F135" s="91">
        <f>440000-73876-2983-2780-42151</f>
        <v>318210</v>
      </c>
      <c r="G135" s="91"/>
      <c r="H135" s="91"/>
      <c r="I135" s="91"/>
      <c r="J135" s="91">
        <f t="shared" si="21"/>
        <v>0</v>
      </c>
      <c r="K135" s="91"/>
      <c r="L135" s="91"/>
      <c r="M135" s="91"/>
      <c r="N135" s="91"/>
      <c r="O135" s="91">
        <f t="shared" si="22"/>
        <v>0</v>
      </c>
      <c r="P135" s="92">
        <f t="shared" si="20"/>
        <v>318210</v>
      </c>
    </row>
    <row r="136" spans="1:16" ht="98.25">
      <c r="A136" s="77" t="s">
        <v>220</v>
      </c>
      <c r="B136" s="77" t="s">
        <v>160</v>
      </c>
      <c r="C136" s="77" t="s">
        <v>161</v>
      </c>
      <c r="D136" s="57" t="s">
        <v>162</v>
      </c>
      <c r="E136" s="91">
        <f t="shared" si="28"/>
        <v>2732769</v>
      </c>
      <c r="F136" s="91">
        <f>2732769</f>
        <v>2732769</v>
      </c>
      <c r="G136" s="91">
        <f>2253756+391814</f>
        <v>2645570</v>
      </c>
      <c r="H136" s="91">
        <f>42032</f>
        <v>42032</v>
      </c>
      <c r="I136" s="91"/>
      <c r="J136" s="91">
        <f t="shared" si="21"/>
        <v>0</v>
      </c>
      <c r="K136" s="91"/>
      <c r="L136" s="91"/>
      <c r="M136" s="91"/>
      <c r="N136" s="91"/>
      <c r="O136" s="91">
        <f t="shared" si="22"/>
        <v>0</v>
      </c>
      <c r="P136" s="92">
        <f t="shared" si="20"/>
        <v>2732769</v>
      </c>
    </row>
    <row r="137" spans="1:16" ht="73.5">
      <c r="A137" s="77" t="s">
        <v>221</v>
      </c>
      <c r="B137" s="77" t="s">
        <v>222</v>
      </c>
      <c r="C137" s="77" t="s">
        <v>161</v>
      </c>
      <c r="D137" s="57" t="s">
        <v>223</v>
      </c>
      <c r="E137" s="91">
        <f t="shared" si="28"/>
        <v>4073442</v>
      </c>
      <c r="F137" s="91">
        <f>3651500+85835+199300+73876+49950+12981</f>
        <v>4073442</v>
      </c>
      <c r="G137" s="91"/>
      <c r="H137" s="91"/>
      <c r="I137" s="91"/>
      <c r="J137" s="91">
        <f t="shared" si="21"/>
        <v>0</v>
      </c>
      <c r="K137" s="91"/>
      <c r="L137" s="91"/>
      <c r="M137" s="91"/>
      <c r="N137" s="91"/>
      <c r="O137" s="91">
        <f t="shared" si="22"/>
        <v>0</v>
      </c>
      <c r="P137" s="92">
        <f t="shared" si="20"/>
        <v>4073442</v>
      </c>
    </row>
    <row r="138" spans="1:16" ht="123">
      <c r="A138" s="77" t="s">
        <v>224</v>
      </c>
      <c r="B138" s="77" t="s">
        <v>225</v>
      </c>
      <c r="C138" s="77" t="s">
        <v>161</v>
      </c>
      <c r="D138" s="62" t="s">
        <v>226</v>
      </c>
      <c r="E138" s="91">
        <f t="shared" si="28"/>
        <v>1630200</v>
      </c>
      <c r="F138" s="91">
        <v>1630200</v>
      </c>
      <c r="G138" s="91"/>
      <c r="H138" s="91"/>
      <c r="I138" s="91"/>
      <c r="J138" s="91">
        <f t="shared" si="21"/>
        <v>0</v>
      </c>
      <c r="K138" s="91"/>
      <c r="L138" s="91"/>
      <c r="M138" s="91"/>
      <c r="N138" s="91"/>
      <c r="O138" s="91">
        <f t="shared" si="22"/>
        <v>0</v>
      </c>
      <c r="P138" s="92">
        <f t="shared" si="20"/>
        <v>1630200</v>
      </c>
    </row>
    <row r="139" spans="1:16" ht="48.75">
      <c r="A139" s="77" t="s">
        <v>227</v>
      </c>
      <c r="B139" s="77" t="s">
        <v>228</v>
      </c>
      <c r="C139" s="77" t="s">
        <v>161</v>
      </c>
      <c r="D139" s="62" t="s">
        <v>229</v>
      </c>
      <c r="E139" s="91">
        <f t="shared" si="28"/>
        <v>226000</v>
      </c>
      <c r="F139" s="91">
        <v>226000</v>
      </c>
      <c r="G139" s="91">
        <v>215110</v>
      </c>
      <c r="H139" s="91">
        <v>5028</v>
      </c>
      <c r="I139" s="91"/>
      <c r="J139" s="91">
        <f t="shared" si="21"/>
        <v>0</v>
      </c>
      <c r="K139" s="91"/>
      <c r="L139" s="91"/>
      <c r="M139" s="91"/>
      <c r="N139" s="91"/>
      <c r="O139" s="91">
        <f t="shared" si="22"/>
        <v>0</v>
      </c>
      <c r="P139" s="92">
        <f t="shared" si="20"/>
        <v>226000</v>
      </c>
    </row>
    <row r="140" spans="1:16" ht="73.5">
      <c r="A140" s="80" t="s">
        <v>348</v>
      </c>
      <c r="B140" s="80" t="s">
        <v>349</v>
      </c>
      <c r="C140" s="77" t="s">
        <v>99</v>
      </c>
      <c r="D140" s="62" t="s">
        <v>350</v>
      </c>
      <c r="E140" s="97"/>
      <c r="F140" s="97"/>
      <c r="G140" s="97"/>
      <c r="H140" s="97"/>
      <c r="I140" s="97"/>
      <c r="J140" s="97">
        <f t="shared" si="21"/>
        <v>575498</v>
      </c>
      <c r="K140" s="97">
        <v>575498</v>
      </c>
      <c r="L140" s="97"/>
      <c r="M140" s="97"/>
      <c r="N140" s="97"/>
      <c r="O140" s="97">
        <f>K140</f>
        <v>575498</v>
      </c>
      <c r="P140" s="92">
        <f t="shared" si="20"/>
        <v>575498</v>
      </c>
    </row>
    <row r="141" spans="1:16" ht="123">
      <c r="A141" s="80" t="s">
        <v>340</v>
      </c>
      <c r="B141" s="80" t="s">
        <v>313</v>
      </c>
      <c r="C141" s="77" t="s">
        <v>100</v>
      </c>
      <c r="D141" s="57" t="s">
        <v>314</v>
      </c>
      <c r="E141" s="97"/>
      <c r="F141" s="97"/>
      <c r="G141" s="97"/>
      <c r="H141" s="97"/>
      <c r="I141" s="97"/>
      <c r="J141" s="97">
        <f t="shared" si="21"/>
        <v>913117</v>
      </c>
      <c r="K141" s="97">
        <f>174734+738383</f>
        <v>913117</v>
      </c>
      <c r="L141" s="97"/>
      <c r="M141" s="97"/>
      <c r="N141" s="97"/>
      <c r="O141" s="97">
        <f>K141</f>
        <v>913117</v>
      </c>
      <c r="P141" s="92">
        <f t="shared" si="20"/>
        <v>913117</v>
      </c>
    </row>
    <row r="142" spans="1:16" ht="49.5" hidden="1" thickBot="1">
      <c r="A142" s="79" t="s">
        <v>230</v>
      </c>
      <c r="B142" s="79" t="s">
        <v>109</v>
      </c>
      <c r="C142" s="79" t="s">
        <v>100</v>
      </c>
      <c r="D142" s="70" t="s">
        <v>110</v>
      </c>
      <c r="E142" s="94">
        <f t="shared" si="28"/>
        <v>0</v>
      </c>
      <c r="F142" s="94">
        <f>18000-18000</f>
        <v>0</v>
      </c>
      <c r="G142" s="94"/>
      <c r="H142" s="94"/>
      <c r="I142" s="94"/>
      <c r="J142" s="94">
        <f t="shared" si="21"/>
        <v>0</v>
      </c>
      <c r="K142" s="94"/>
      <c r="L142" s="94"/>
      <c r="M142" s="94"/>
      <c r="N142" s="94"/>
      <c r="O142" s="94">
        <f t="shared" si="22"/>
        <v>0</v>
      </c>
      <c r="P142" s="93">
        <f t="shared" si="20"/>
        <v>0</v>
      </c>
    </row>
    <row r="143" spans="1:16" s="15" customFormat="1" ht="120">
      <c r="A143" s="75" t="s">
        <v>231</v>
      </c>
      <c r="B143" s="75"/>
      <c r="C143" s="75"/>
      <c r="D143" s="73" t="s">
        <v>232</v>
      </c>
      <c r="E143" s="95">
        <f>E144</f>
        <v>1609757</v>
      </c>
      <c r="F143" s="95">
        <f aca="true" t="shared" si="29" ref="F143:N143">F144</f>
        <v>1609757</v>
      </c>
      <c r="G143" s="95">
        <f t="shared" si="29"/>
        <v>1241598</v>
      </c>
      <c r="H143" s="95">
        <f t="shared" si="29"/>
        <v>38432</v>
      </c>
      <c r="I143" s="95">
        <f t="shared" si="29"/>
        <v>0</v>
      </c>
      <c r="J143" s="95">
        <f t="shared" si="29"/>
        <v>2243694</v>
      </c>
      <c r="K143" s="95">
        <f t="shared" si="29"/>
        <v>2243694</v>
      </c>
      <c r="L143" s="95">
        <f t="shared" si="29"/>
        <v>0</v>
      </c>
      <c r="M143" s="95">
        <f t="shared" si="29"/>
        <v>0</v>
      </c>
      <c r="N143" s="95">
        <f t="shared" si="29"/>
        <v>0</v>
      </c>
      <c r="O143" s="95">
        <f t="shared" si="22"/>
        <v>2243694</v>
      </c>
      <c r="P143" s="89">
        <f t="shared" si="20"/>
        <v>3853451</v>
      </c>
    </row>
    <row r="144" spans="1:16" s="15" customFormat="1" ht="120">
      <c r="A144" s="75" t="s">
        <v>233</v>
      </c>
      <c r="B144" s="75"/>
      <c r="C144" s="75"/>
      <c r="D144" s="73" t="s">
        <v>232</v>
      </c>
      <c r="E144" s="99">
        <f>E145+E146+E147+E148</f>
        <v>1609757</v>
      </c>
      <c r="F144" s="99">
        <f aca="true" t="shared" si="30" ref="F144:O144">F145+F146+F147+F148</f>
        <v>1609757</v>
      </c>
      <c r="G144" s="99">
        <f t="shared" si="30"/>
        <v>1241598</v>
      </c>
      <c r="H144" s="99">
        <f t="shared" si="30"/>
        <v>38432</v>
      </c>
      <c r="I144" s="99">
        <f t="shared" si="30"/>
        <v>0</v>
      </c>
      <c r="J144" s="99">
        <f t="shared" si="30"/>
        <v>2243694</v>
      </c>
      <c r="K144" s="99">
        <f t="shared" si="30"/>
        <v>2243694</v>
      </c>
      <c r="L144" s="99">
        <f t="shared" si="30"/>
        <v>0</v>
      </c>
      <c r="M144" s="99">
        <f t="shared" si="30"/>
        <v>0</v>
      </c>
      <c r="N144" s="99">
        <f t="shared" si="30"/>
        <v>0</v>
      </c>
      <c r="O144" s="99">
        <f t="shared" si="30"/>
        <v>2243694</v>
      </c>
      <c r="P144" s="90">
        <f t="shared" si="20"/>
        <v>3853451</v>
      </c>
    </row>
    <row r="145" spans="1:16" ht="123">
      <c r="A145" s="80" t="s">
        <v>234</v>
      </c>
      <c r="B145" s="80" t="s">
        <v>130</v>
      </c>
      <c r="C145" s="80" t="s">
        <v>35</v>
      </c>
      <c r="D145" s="69" t="s">
        <v>131</v>
      </c>
      <c r="E145" s="91">
        <f>F145</f>
        <v>1307359</v>
      </c>
      <c r="F145" s="91">
        <f>1250263+57096</f>
        <v>1307359</v>
      </c>
      <c r="G145" s="91">
        <f>1184502+57096</f>
        <v>1241598</v>
      </c>
      <c r="H145" s="91">
        <v>38432</v>
      </c>
      <c r="I145" s="91"/>
      <c r="J145" s="91">
        <f t="shared" si="21"/>
        <v>0</v>
      </c>
      <c r="K145" s="91"/>
      <c r="L145" s="91"/>
      <c r="M145" s="91"/>
      <c r="N145" s="91"/>
      <c r="O145" s="91">
        <f t="shared" si="22"/>
        <v>0</v>
      </c>
      <c r="P145" s="92">
        <f t="shared" si="20"/>
        <v>1307359</v>
      </c>
    </row>
    <row r="146" spans="1:16" ht="73.5">
      <c r="A146" s="80" t="s">
        <v>394</v>
      </c>
      <c r="B146" s="80" t="s">
        <v>349</v>
      </c>
      <c r="C146" s="80" t="s">
        <v>99</v>
      </c>
      <c r="D146" s="69" t="s">
        <v>350</v>
      </c>
      <c r="E146" s="97"/>
      <c r="F146" s="97"/>
      <c r="G146" s="97"/>
      <c r="H146" s="97"/>
      <c r="I146" s="97"/>
      <c r="J146" s="91">
        <f t="shared" si="21"/>
        <v>22860</v>
      </c>
      <c r="K146" s="97">
        <v>22860</v>
      </c>
      <c r="L146" s="97"/>
      <c r="M146" s="97"/>
      <c r="N146" s="97"/>
      <c r="O146" s="91">
        <f t="shared" si="22"/>
        <v>22860</v>
      </c>
      <c r="P146" s="92">
        <f t="shared" si="20"/>
        <v>22860</v>
      </c>
    </row>
    <row r="147" spans="1:16" ht="123">
      <c r="A147" s="80" t="s">
        <v>393</v>
      </c>
      <c r="B147" s="80" t="s">
        <v>313</v>
      </c>
      <c r="C147" s="80" t="s">
        <v>100</v>
      </c>
      <c r="D147" s="69" t="s">
        <v>314</v>
      </c>
      <c r="E147" s="97"/>
      <c r="F147" s="97"/>
      <c r="G147" s="97"/>
      <c r="H147" s="97"/>
      <c r="I147" s="97"/>
      <c r="J147" s="91">
        <f t="shared" si="21"/>
        <v>2220834</v>
      </c>
      <c r="K147" s="97">
        <f>1945833+4720834-2000000-1000000-1445833</f>
        <v>2220834</v>
      </c>
      <c r="L147" s="97"/>
      <c r="M147" s="97"/>
      <c r="N147" s="97"/>
      <c r="O147" s="91">
        <f t="shared" si="22"/>
        <v>2220834</v>
      </c>
      <c r="P147" s="92">
        <f t="shared" si="20"/>
        <v>2220834</v>
      </c>
    </row>
    <row r="148" spans="1:16" ht="49.5" thickBot="1">
      <c r="A148" s="79" t="s">
        <v>235</v>
      </c>
      <c r="B148" s="79" t="s">
        <v>109</v>
      </c>
      <c r="C148" s="79" t="s">
        <v>100</v>
      </c>
      <c r="D148" s="70" t="s">
        <v>110</v>
      </c>
      <c r="E148" s="94">
        <f>F148</f>
        <v>302398</v>
      </c>
      <c r="F148" s="94">
        <v>302398</v>
      </c>
      <c r="G148" s="94"/>
      <c r="H148" s="94"/>
      <c r="I148" s="94"/>
      <c r="J148" s="94">
        <f t="shared" si="21"/>
        <v>0</v>
      </c>
      <c r="K148" s="94"/>
      <c r="L148" s="94"/>
      <c r="M148" s="94"/>
      <c r="N148" s="94"/>
      <c r="O148" s="94">
        <f t="shared" si="22"/>
        <v>0</v>
      </c>
      <c r="P148" s="93">
        <f t="shared" si="20"/>
        <v>302398</v>
      </c>
    </row>
    <row r="149" spans="1:16" s="15" customFormat="1" ht="96">
      <c r="A149" s="75" t="s">
        <v>236</v>
      </c>
      <c r="B149" s="75"/>
      <c r="C149" s="75"/>
      <c r="D149" s="54" t="s">
        <v>237</v>
      </c>
      <c r="E149" s="95">
        <f>E150</f>
        <v>1236347</v>
      </c>
      <c r="F149" s="95">
        <f aca="true" t="shared" si="31" ref="F149:N150">F150</f>
        <v>1236347</v>
      </c>
      <c r="G149" s="95">
        <f t="shared" si="31"/>
        <v>1158854</v>
      </c>
      <c r="H149" s="95">
        <f t="shared" si="31"/>
        <v>43393</v>
      </c>
      <c r="I149" s="95">
        <f t="shared" si="31"/>
        <v>0</v>
      </c>
      <c r="J149" s="95">
        <f t="shared" si="31"/>
        <v>0</v>
      </c>
      <c r="K149" s="95">
        <f t="shared" si="31"/>
        <v>0</v>
      </c>
      <c r="L149" s="95">
        <f t="shared" si="31"/>
        <v>0</v>
      </c>
      <c r="M149" s="95">
        <f t="shared" si="31"/>
        <v>0</v>
      </c>
      <c r="N149" s="95">
        <f t="shared" si="31"/>
        <v>0</v>
      </c>
      <c r="O149" s="95">
        <f t="shared" si="22"/>
        <v>0</v>
      </c>
      <c r="P149" s="89">
        <f t="shared" si="20"/>
        <v>1236347</v>
      </c>
    </row>
    <row r="150" spans="1:16" s="15" customFormat="1" ht="96">
      <c r="A150" s="75" t="s">
        <v>238</v>
      </c>
      <c r="B150" s="75"/>
      <c r="C150" s="75"/>
      <c r="D150" s="74" t="s">
        <v>237</v>
      </c>
      <c r="E150" s="99">
        <f>E151</f>
        <v>1236347</v>
      </c>
      <c r="F150" s="99">
        <f t="shared" si="31"/>
        <v>1236347</v>
      </c>
      <c r="G150" s="99">
        <f t="shared" si="31"/>
        <v>1158854</v>
      </c>
      <c r="H150" s="99">
        <f t="shared" si="31"/>
        <v>43393</v>
      </c>
      <c r="I150" s="99">
        <f t="shared" si="31"/>
        <v>0</v>
      </c>
      <c r="J150" s="99">
        <f t="shared" si="31"/>
        <v>0</v>
      </c>
      <c r="K150" s="99">
        <f t="shared" si="31"/>
        <v>0</v>
      </c>
      <c r="L150" s="99">
        <f t="shared" si="31"/>
        <v>0</v>
      </c>
      <c r="M150" s="99">
        <f t="shared" si="31"/>
        <v>0</v>
      </c>
      <c r="N150" s="99">
        <f t="shared" si="31"/>
        <v>0</v>
      </c>
      <c r="O150" s="99">
        <f t="shared" si="22"/>
        <v>0</v>
      </c>
      <c r="P150" s="90">
        <f t="shared" si="20"/>
        <v>1236347</v>
      </c>
    </row>
    <row r="151" spans="1:16" ht="123" thickBot="1">
      <c r="A151" s="79" t="s">
        <v>239</v>
      </c>
      <c r="B151" s="79" t="s">
        <v>130</v>
      </c>
      <c r="C151" s="79" t="s">
        <v>35</v>
      </c>
      <c r="D151" s="70" t="s">
        <v>240</v>
      </c>
      <c r="E151" s="94">
        <f>F151</f>
        <v>1236347</v>
      </c>
      <c r="F151" s="94">
        <f>1180715+55632</f>
        <v>1236347</v>
      </c>
      <c r="G151" s="94">
        <f>1103222+55632</f>
        <v>1158854</v>
      </c>
      <c r="H151" s="94">
        <v>43393</v>
      </c>
      <c r="I151" s="94"/>
      <c r="J151" s="94">
        <f t="shared" si="21"/>
        <v>0</v>
      </c>
      <c r="K151" s="94"/>
      <c r="L151" s="94"/>
      <c r="M151" s="94"/>
      <c r="N151" s="94"/>
      <c r="O151" s="94">
        <f t="shared" si="22"/>
        <v>0</v>
      </c>
      <c r="P151" s="93">
        <f t="shared" si="20"/>
        <v>1236347</v>
      </c>
    </row>
    <row r="152" spans="1:16" s="15" customFormat="1" ht="156" customHeight="1">
      <c r="A152" s="75" t="s">
        <v>241</v>
      </c>
      <c r="B152" s="75"/>
      <c r="C152" s="75"/>
      <c r="D152" s="73" t="s">
        <v>242</v>
      </c>
      <c r="E152" s="95">
        <f>E153</f>
        <v>3274686</v>
      </c>
      <c r="F152" s="95">
        <f aca="true" t="shared" si="32" ref="F152:N152">F153</f>
        <v>3274686</v>
      </c>
      <c r="G152" s="95">
        <f t="shared" si="32"/>
        <v>2626380</v>
      </c>
      <c r="H152" s="95">
        <f t="shared" si="32"/>
        <v>95037</v>
      </c>
      <c r="I152" s="95">
        <f t="shared" si="32"/>
        <v>0</v>
      </c>
      <c r="J152" s="95">
        <f t="shared" si="32"/>
        <v>142311</v>
      </c>
      <c r="K152" s="95">
        <f t="shared" si="32"/>
        <v>142311</v>
      </c>
      <c r="L152" s="95">
        <f t="shared" si="32"/>
        <v>0</v>
      </c>
      <c r="M152" s="95">
        <f t="shared" si="32"/>
        <v>0</v>
      </c>
      <c r="N152" s="95">
        <f t="shared" si="32"/>
        <v>0</v>
      </c>
      <c r="O152" s="95">
        <f t="shared" si="22"/>
        <v>142311</v>
      </c>
      <c r="P152" s="89">
        <f t="shared" si="20"/>
        <v>3416997</v>
      </c>
    </row>
    <row r="153" spans="1:16" s="15" customFormat="1" ht="159" customHeight="1">
      <c r="A153" s="75" t="s">
        <v>243</v>
      </c>
      <c r="B153" s="75"/>
      <c r="C153" s="75"/>
      <c r="D153" s="73" t="s">
        <v>242</v>
      </c>
      <c r="E153" s="99">
        <f>SUM(E154:E157)</f>
        <v>3274686</v>
      </c>
      <c r="F153" s="99">
        <f aca="true" t="shared" si="33" ref="F153:N153">SUM(F154:F157)</f>
        <v>3274686</v>
      </c>
      <c r="G153" s="99">
        <f t="shared" si="33"/>
        <v>2626380</v>
      </c>
      <c r="H153" s="99">
        <f t="shared" si="33"/>
        <v>95037</v>
      </c>
      <c r="I153" s="99">
        <f t="shared" si="33"/>
        <v>0</v>
      </c>
      <c r="J153" s="99">
        <f t="shared" si="33"/>
        <v>142311</v>
      </c>
      <c r="K153" s="99">
        <f t="shared" si="33"/>
        <v>142311</v>
      </c>
      <c r="L153" s="99">
        <f t="shared" si="33"/>
        <v>0</v>
      </c>
      <c r="M153" s="99">
        <f t="shared" si="33"/>
        <v>0</v>
      </c>
      <c r="N153" s="99">
        <f t="shared" si="33"/>
        <v>0</v>
      </c>
      <c r="O153" s="99">
        <f t="shared" si="22"/>
        <v>142311</v>
      </c>
      <c r="P153" s="90">
        <f t="shared" si="20"/>
        <v>3416997</v>
      </c>
    </row>
    <row r="154" spans="1:16" ht="123">
      <c r="A154" s="77" t="s">
        <v>244</v>
      </c>
      <c r="B154" s="77" t="s">
        <v>130</v>
      </c>
      <c r="C154" s="77" t="s">
        <v>35</v>
      </c>
      <c r="D154" s="57" t="s">
        <v>131</v>
      </c>
      <c r="E154" s="91">
        <f>F154</f>
        <v>2369710</v>
      </c>
      <c r="F154" s="91">
        <f>2272854+96856</f>
        <v>2369710</v>
      </c>
      <c r="G154" s="91">
        <f>2178886+96856</f>
        <v>2275742</v>
      </c>
      <c r="H154" s="91">
        <v>60163</v>
      </c>
      <c r="I154" s="91"/>
      <c r="J154" s="91">
        <f t="shared" si="21"/>
        <v>0</v>
      </c>
      <c r="K154" s="91"/>
      <c r="L154" s="91"/>
      <c r="M154" s="91"/>
      <c r="N154" s="91"/>
      <c r="O154" s="91">
        <f t="shared" si="22"/>
        <v>0</v>
      </c>
      <c r="P154" s="92">
        <f t="shared" si="20"/>
        <v>2369710</v>
      </c>
    </row>
    <row r="155" spans="1:16" ht="48.75">
      <c r="A155" s="80" t="s">
        <v>245</v>
      </c>
      <c r="B155" s="80" t="s">
        <v>109</v>
      </c>
      <c r="C155" s="80" t="s">
        <v>100</v>
      </c>
      <c r="D155" s="69" t="s">
        <v>246</v>
      </c>
      <c r="E155" s="91">
        <f>F155</f>
        <v>385512</v>
      </c>
      <c r="F155" s="91">
        <v>385512</v>
      </c>
      <c r="G155" s="91">
        <v>350638</v>
      </c>
      <c r="H155" s="91">
        <v>34874</v>
      </c>
      <c r="I155" s="91"/>
      <c r="J155" s="91">
        <f t="shared" si="21"/>
        <v>39000</v>
      </c>
      <c r="K155" s="91">
        <f>39000</f>
        <v>39000</v>
      </c>
      <c r="L155" s="91"/>
      <c r="M155" s="91"/>
      <c r="N155" s="91"/>
      <c r="O155" s="91">
        <f t="shared" si="22"/>
        <v>39000</v>
      </c>
      <c r="P155" s="92">
        <f t="shared" si="20"/>
        <v>424512</v>
      </c>
    </row>
    <row r="156" spans="1:16" ht="98.25">
      <c r="A156" s="80" t="s">
        <v>493</v>
      </c>
      <c r="B156" s="80" t="s">
        <v>494</v>
      </c>
      <c r="C156" s="80" t="s">
        <v>495</v>
      </c>
      <c r="D156" s="69" t="s">
        <v>496</v>
      </c>
      <c r="E156" s="97">
        <f>F156+I156</f>
        <v>318310</v>
      </c>
      <c r="F156" s="97">
        <f>58915+37290+44542+18345+65636+93582</f>
        <v>318310</v>
      </c>
      <c r="G156" s="97"/>
      <c r="H156" s="97"/>
      <c r="I156" s="97"/>
      <c r="J156" s="97">
        <f>L156+O156</f>
        <v>84465</v>
      </c>
      <c r="K156" s="97">
        <f>15300+69165</f>
        <v>84465</v>
      </c>
      <c r="L156" s="97"/>
      <c r="M156" s="97"/>
      <c r="N156" s="97"/>
      <c r="O156" s="97">
        <f>K156</f>
        <v>84465</v>
      </c>
      <c r="P156" s="92">
        <f t="shared" si="20"/>
        <v>402775</v>
      </c>
    </row>
    <row r="157" spans="1:16" ht="49.5" thickBot="1">
      <c r="A157" s="79" t="s">
        <v>247</v>
      </c>
      <c r="B157" s="79" t="s">
        <v>248</v>
      </c>
      <c r="C157" s="79" t="s">
        <v>113</v>
      </c>
      <c r="D157" s="70" t="s">
        <v>249</v>
      </c>
      <c r="E157" s="94">
        <f>F157</f>
        <v>201154</v>
      </c>
      <c r="F157" s="94">
        <f>200000-18846+20000</f>
        <v>201154</v>
      </c>
      <c r="G157" s="94"/>
      <c r="H157" s="94"/>
      <c r="I157" s="94"/>
      <c r="J157" s="94">
        <f t="shared" si="21"/>
        <v>18846</v>
      </c>
      <c r="K157" s="94">
        <f>18846</f>
        <v>18846</v>
      </c>
      <c r="L157" s="94"/>
      <c r="M157" s="94"/>
      <c r="N157" s="94"/>
      <c r="O157" s="94">
        <f t="shared" si="22"/>
        <v>18846</v>
      </c>
      <c r="P157" s="93">
        <f t="shared" si="20"/>
        <v>220000</v>
      </c>
    </row>
    <row r="158" spans="1:16" s="15" customFormat="1" ht="139.5" customHeight="1">
      <c r="A158" s="75" t="s">
        <v>250</v>
      </c>
      <c r="B158" s="75"/>
      <c r="C158" s="75"/>
      <c r="D158" s="54" t="s">
        <v>251</v>
      </c>
      <c r="E158" s="95">
        <f>E159</f>
        <v>12345545</v>
      </c>
      <c r="F158" s="95">
        <f aca="true" t="shared" si="34" ref="F158:N158">F159</f>
        <v>12345545</v>
      </c>
      <c r="G158" s="95">
        <f t="shared" si="34"/>
        <v>6213086</v>
      </c>
      <c r="H158" s="95">
        <f t="shared" si="34"/>
        <v>871929</v>
      </c>
      <c r="I158" s="95">
        <f t="shared" si="34"/>
        <v>0</v>
      </c>
      <c r="J158" s="95">
        <f t="shared" si="34"/>
        <v>5014559</v>
      </c>
      <c r="K158" s="95">
        <f t="shared" si="34"/>
        <v>4927286</v>
      </c>
      <c r="L158" s="95">
        <f t="shared" si="34"/>
        <v>87273</v>
      </c>
      <c r="M158" s="95">
        <f t="shared" si="34"/>
        <v>0</v>
      </c>
      <c r="N158" s="95">
        <f t="shared" si="34"/>
        <v>0</v>
      </c>
      <c r="O158" s="95">
        <f t="shared" si="22"/>
        <v>4927286</v>
      </c>
      <c r="P158" s="89">
        <f t="shared" si="20"/>
        <v>17360104</v>
      </c>
    </row>
    <row r="159" spans="1:16" s="15" customFormat="1" ht="154.5" customHeight="1">
      <c r="A159" s="76" t="s">
        <v>252</v>
      </c>
      <c r="B159" s="76"/>
      <c r="C159" s="76"/>
      <c r="D159" s="54" t="s">
        <v>251</v>
      </c>
      <c r="E159" s="99">
        <f>SUM(E160:E171)</f>
        <v>12345545</v>
      </c>
      <c r="F159" s="99">
        <f aca="true" t="shared" si="35" ref="F159:N159">SUM(F160:F171)</f>
        <v>12345545</v>
      </c>
      <c r="G159" s="99">
        <f t="shared" si="35"/>
        <v>6213086</v>
      </c>
      <c r="H159" s="99">
        <f t="shared" si="35"/>
        <v>871929</v>
      </c>
      <c r="I159" s="99">
        <f t="shared" si="35"/>
        <v>0</v>
      </c>
      <c r="J159" s="99">
        <f t="shared" si="35"/>
        <v>5014559</v>
      </c>
      <c r="K159" s="99">
        <f t="shared" si="35"/>
        <v>4927286</v>
      </c>
      <c r="L159" s="99">
        <f t="shared" si="35"/>
        <v>87273</v>
      </c>
      <c r="M159" s="99">
        <f t="shared" si="35"/>
        <v>0</v>
      </c>
      <c r="N159" s="99">
        <f t="shared" si="35"/>
        <v>0</v>
      </c>
      <c r="O159" s="99">
        <f t="shared" si="22"/>
        <v>4927286</v>
      </c>
      <c r="P159" s="90">
        <f t="shared" si="20"/>
        <v>17360104</v>
      </c>
    </row>
    <row r="160" spans="1:16" ht="123">
      <c r="A160" s="77" t="s">
        <v>253</v>
      </c>
      <c r="B160" s="77" t="s">
        <v>130</v>
      </c>
      <c r="C160" s="77" t="s">
        <v>35</v>
      </c>
      <c r="D160" s="57" t="s">
        <v>131</v>
      </c>
      <c r="E160" s="91">
        <f>F160</f>
        <v>6826541</v>
      </c>
      <c r="F160" s="91">
        <f>5050013+8519-16922+225310+1559621</f>
        <v>6826541</v>
      </c>
      <c r="G160" s="91">
        <f>4582418+225310+1380720</f>
        <v>6188448</v>
      </c>
      <c r="H160" s="91">
        <f>168488-16922+79937</f>
        <v>231503</v>
      </c>
      <c r="I160" s="91"/>
      <c r="J160" s="91">
        <f t="shared" si="21"/>
        <v>87273</v>
      </c>
      <c r="K160" s="91"/>
      <c r="L160" s="91">
        <f>66273+21000</f>
        <v>87273</v>
      </c>
      <c r="M160" s="91"/>
      <c r="N160" s="91"/>
      <c r="O160" s="91">
        <f t="shared" si="22"/>
        <v>0</v>
      </c>
      <c r="P160" s="92">
        <f t="shared" si="20"/>
        <v>6913814</v>
      </c>
    </row>
    <row r="161" spans="1:16" ht="48.75">
      <c r="A161" s="77" t="s">
        <v>395</v>
      </c>
      <c r="B161" s="77" t="s">
        <v>368</v>
      </c>
      <c r="C161" s="77" t="s">
        <v>369</v>
      </c>
      <c r="D161" s="62" t="s">
        <v>370</v>
      </c>
      <c r="E161" s="91">
        <f>F161</f>
        <v>24638</v>
      </c>
      <c r="F161" s="91">
        <v>24638</v>
      </c>
      <c r="G161" s="91">
        <v>24638</v>
      </c>
      <c r="H161" s="91"/>
      <c r="I161" s="91"/>
      <c r="J161" s="91"/>
      <c r="K161" s="91"/>
      <c r="L161" s="91"/>
      <c r="M161" s="91"/>
      <c r="N161" s="91"/>
      <c r="O161" s="91"/>
      <c r="P161" s="92">
        <f t="shared" si="20"/>
        <v>24638</v>
      </c>
    </row>
    <row r="162" spans="1:16" ht="48.75">
      <c r="A162" s="77" t="s">
        <v>307</v>
      </c>
      <c r="B162" s="77" t="s">
        <v>80</v>
      </c>
      <c r="C162" s="77" t="s">
        <v>77</v>
      </c>
      <c r="D162" s="57" t="s">
        <v>81</v>
      </c>
      <c r="E162" s="91">
        <f>F162</f>
        <v>44480</v>
      </c>
      <c r="F162" s="91">
        <v>44480</v>
      </c>
      <c r="G162" s="91"/>
      <c r="H162" s="91"/>
      <c r="I162" s="91"/>
      <c r="J162" s="91">
        <f t="shared" si="21"/>
        <v>0</v>
      </c>
      <c r="K162" s="91"/>
      <c r="L162" s="91"/>
      <c r="M162" s="91"/>
      <c r="N162" s="91"/>
      <c r="O162" s="91">
        <f t="shared" si="22"/>
        <v>0</v>
      </c>
      <c r="P162" s="92">
        <f t="shared" si="20"/>
        <v>44480</v>
      </c>
    </row>
    <row r="163" spans="1:16" ht="98.25">
      <c r="A163" s="77" t="s">
        <v>254</v>
      </c>
      <c r="B163" s="77" t="s">
        <v>83</v>
      </c>
      <c r="C163" s="77" t="s">
        <v>77</v>
      </c>
      <c r="D163" s="57" t="s">
        <v>84</v>
      </c>
      <c r="E163" s="91">
        <f aca="true" t="shared" si="36" ref="E163:E171">F163</f>
        <v>55000</v>
      </c>
      <c r="F163" s="91">
        <v>55000</v>
      </c>
      <c r="G163" s="91"/>
      <c r="H163" s="91"/>
      <c r="I163" s="91"/>
      <c r="J163" s="91">
        <f t="shared" si="21"/>
        <v>0</v>
      </c>
      <c r="K163" s="91"/>
      <c r="L163" s="91"/>
      <c r="M163" s="91"/>
      <c r="N163" s="91"/>
      <c r="O163" s="91">
        <f t="shared" si="22"/>
        <v>0</v>
      </c>
      <c r="P163" s="92">
        <f t="shared" si="20"/>
        <v>55000</v>
      </c>
    </row>
    <row r="164" spans="1:16" ht="48.75">
      <c r="A164" s="77" t="s">
        <v>255</v>
      </c>
      <c r="B164" s="77" t="s">
        <v>89</v>
      </c>
      <c r="C164" s="77" t="s">
        <v>77</v>
      </c>
      <c r="D164" s="57" t="s">
        <v>90</v>
      </c>
      <c r="E164" s="91">
        <f t="shared" si="36"/>
        <v>2695529</v>
      </c>
      <c r="F164" s="91">
        <f>2039358+511184+144987</f>
        <v>2695529</v>
      </c>
      <c r="G164" s="91"/>
      <c r="H164" s="91">
        <f>587926+50526</f>
        <v>638452</v>
      </c>
      <c r="I164" s="91"/>
      <c r="J164" s="91">
        <f t="shared" si="21"/>
        <v>701311</v>
      </c>
      <c r="K164" s="91">
        <f>199980+108131+385200+8000</f>
        <v>701311</v>
      </c>
      <c r="L164" s="91"/>
      <c r="M164" s="91"/>
      <c r="N164" s="91"/>
      <c r="O164" s="91">
        <f t="shared" si="22"/>
        <v>701311</v>
      </c>
      <c r="P164" s="92">
        <f t="shared" si="20"/>
        <v>3396840</v>
      </c>
    </row>
    <row r="165" spans="1:16" ht="48.75">
      <c r="A165" s="77" t="s">
        <v>305</v>
      </c>
      <c r="B165" s="77" t="s">
        <v>306</v>
      </c>
      <c r="C165" s="77" t="s">
        <v>77</v>
      </c>
      <c r="D165" s="57" t="s">
        <v>308</v>
      </c>
      <c r="E165" s="91">
        <f t="shared" si="36"/>
        <v>548324</v>
      </c>
      <c r="F165" s="91">
        <f>199000+299792+49532</f>
        <v>548324</v>
      </c>
      <c r="G165" s="91"/>
      <c r="H165" s="91"/>
      <c r="I165" s="91"/>
      <c r="J165" s="91">
        <f t="shared" si="21"/>
        <v>75050</v>
      </c>
      <c r="K165" s="91">
        <f>75050</f>
        <v>75050</v>
      </c>
      <c r="L165" s="91"/>
      <c r="M165" s="91"/>
      <c r="N165" s="91"/>
      <c r="O165" s="91">
        <f t="shared" si="22"/>
        <v>75050</v>
      </c>
      <c r="P165" s="92">
        <f t="shared" si="20"/>
        <v>623374</v>
      </c>
    </row>
    <row r="166" spans="1:16" ht="48.75">
      <c r="A166" s="77" t="s">
        <v>256</v>
      </c>
      <c r="B166" s="77" t="s">
        <v>96</v>
      </c>
      <c r="C166" s="77" t="s">
        <v>97</v>
      </c>
      <c r="D166" s="57" t="s">
        <v>98</v>
      </c>
      <c r="E166" s="91">
        <f t="shared" si="36"/>
        <v>122576</v>
      </c>
      <c r="F166" s="91">
        <v>122576</v>
      </c>
      <c r="G166" s="91"/>
      <c r="H166" s="91"/>
      <c r="I166" s="91"/>
      <c r="J166" s="91">
        <f t="shared" si="21"/>
        <v>0</v>
      </c>
      <c r="K166" s="91"/>
      <c r="L166" s="91"/>
      <c r="M166" s="91"/>
      <c r="N166" s="91"/>
      <c r="O166" s="91">
        <f t="shared" si="22"/>
        <v>0</v>
      </c>
      <c r="P166" s="92">
        <f t="shared" si="20"/>
        <v>122576</v>
      </c>
    </row>
    <row r="167" spans="1:16" ht="73.5">
      <c r="A167" s="77" t="s">
        <v>302</v>
      </c>
      <c r="B167" s="77" t="s">
        <v>303</v>
      </c>
      <c r="C167" s="77" t="s">
        <v>99</v>
      </c>
      <c r="D167" s="57" t="s">
        <v>304</v>
      </c>
      <c r="E167" s="91">
        <f t="shared" si="36"/>
        <v>0</v>
      </c>
      <c r="F167" s="91"/>
      <c r="G167" s="91"/>
      <c r="H167" s="91"/>
      <c r="I167" s="91"/>
      <c r="J167" s="91">
        <f t="shared" si="21"/>
        <v>325486</v>
      </c>
      <c r="K167" s="91">
        <f>575278+50000-299792</f>
        <v>325486</v>
      </c>
      <c r="L167" s="91"/>
      <c r="M167" s="91"/>
      <c r="N167" s="91"/>
      <c r="O167" s="91">
        <f t="shared" si="22"/>
        <v>325486</v>
      </c>
      <c r="P167" s="92">
        <f t="shared" si="20"/>
        <v>325486</v>
      </c>
    </row>
    <row r="168" spans="1:16" ht="48.75">
      <c r="A168" s="77" t="s">
        <v>257</v>
      </c>
      <c r="B168" s="77" t="s">
        <v>258</v>
      </c>
      <c r="C168" s="77" t="s">
        <v>99</v>
      </c>
      <c r="D168" s="57" t="s">
        <v>259</v>
      </c>
      <c r="E168" s="91">
        <f t="shared" si="36"/>
        <v>0</v>
      </c>
      <c r="F168" s="91"/>
      <c r="G168" s="91"/>
      <c r="H168" s="91"/>
      <c r="I168" s="91"/>
      <c r="J168" s="91">
        <f t="shared" si="21"/>
        <v>2542137</v>
      </c>
      <c r="K168" s="91">
        <f>667868+424269+1450000</f>
        <v>2542137</v>
      </c>
      <c r="L168" s="91"/>
      <c r="M168" s="91"/>
      <c r="N168" s="91"/>
      <c r="O168" s="91">
        <f t="shared" si="22"/>
        <v>2542137</v>
      </c>
      <c r="P168" s="92">
        <f t="shared" si="20"/>
        <v>2542137</v>
      </c>
    </row>
    <row r="169" spans="1:16" ht="98.25">
      <c r="A169" s="77" t="s">
        <v>260</v>
      </c>
      <c r="B169" s="77" t="s">
        <v>261</v>
      </c>
      <c r="C169" s="77" t="s">
        <v>99</v>
      </c>
      <c r="D169" s="57" t="s">
        <v>262</v>
      </c>
      <c r="E169" s="91">
        <f t="shared" si="36"/>
        <v>0</v>
      </c>
      <c r="F169" s="91"/>
      <c r="G169" s="91"/>
      <c r="H169" s="91"/>
      <c r="I169" s="91"/>
      <c r="J169" s="91">
        <f t="shared" si="21"/>
        <v>93500</v>
      </c>
      <c r="K169" s="91">
        <v>93500</v>
      </c>
      <c r="L169" s="91"/>
      <c r="M169" s="91"/>
      <c r="N169" s="91"/>
      <c r="O169" s="91">
        <f t="shared" si="22"/>
        <v>93500</v>
      </c>
      <c r="P169" s="92">
        <f t="shared" si="20"/>
        <v>93500</v>
      </c>
    </row>
    <row r="170" spans="1:16" ht="123">
      <c r="A170" s="77" t="s">
        <v>263</v>
      </c>
      <c r="B170" s="77" t="s">
        <v>102</v>
      </c>
      <c r="C170" s="77" t="s">
        <v>103</v>
      </c>
      <c r="D170" s="57" t="s">
        <v>104</v>
      </c>
      <c r="E170" s="91">
        <f t="shared" si="36"/>
        <v>2024483</v>
      </c>
      <c r="F170" s="91">
        <f>1609406+225077+190000</f>
        <v>2024483</v>
      </c>
      <c r="G170" s="91"/>
      <c r="H170" s="91"/>
      <c r="I170" s="91"/>
      <c r="J170" s="91">
        <f t="shared" si="21"/>
        <v>1189802</v>
      </c>
      <c r="K170" s="91">
        <f>1189802</f>
        <v>1189802</v>
      </c>
      <c r="L170" s="91"/>
      <c r="M170" s="91"/>
      <c r="N170" s="91"/>
      <c r="O170" s="91">
        <f t="shared" si="22"/>
        <v>1189802</v>
      </c>
      <c r="P170" s="92">
        <f t="shared" si="20"/>
        <v>3214285</v>
      </c>
    </row>
    <row r="171" spans="1:16" ht="49.5" thickBot="1">
      <c r="A171" s="79" t="s">
        <v>264</v>
      </c>
      <c r="B171" s="79" t="s">
        <v>109</v>
      </c>
      <c r="C171" s="79" t="s">
        <v>100</v>
      </c>
      <c r="D171" s="70" t="s">
        <v>110</v>
      </c>
      <c r="E171" s="94">
        <f t="shared" si="36"/>
        <v>3974</v>
      </c>
      <c r="F171" s="94">
        <v>3974</v>
      </c>
      <c r="G171" s="94"/>
      <c r="H171" s="94">
        <v>1974</v>
      </c>
      <c r="I171" s="94"/>
      <c r="J171" s="94">
        <f t="shared" si="21"/>
        <v>0</v>
      </c>
      <c r="K171" s="94"/>
      <c r="L171" s="94"/>
      <c r="M171" s="94"/>
      <c r="N171" s="94"/>
      <c r="O171" s="94">
        <f t="shared" si="22"/>
        <v>0</v>
      </c>
      <c r="P171" s="93">
        <f t="shared" si="20"/>
        <v>3974</v>
      </c>
    </row>
    <row r="172" spans="1:16" s="15" customFormat="1" ht="78" customHeight="1">
      <c r="A172" s="75" t="s">
        <v>265</v>
      </c>
      <c r="B172" s="75"/>
      <c r="C172" s="75"/>
      <c r="D172" s="73" t="s">
        <v>266</v>
      </c>
      <c r="E172" s="95">
        <f>E173</f>
        <v>1905089</v>
      </c>
      <c r="F172" s="95">
        <f aca="true" t="shared" si="37" ref="F172:N173">F173</f>
        <v>1905089</v>
      </c>
      <c r="G172" s="95">
        <f t="shared" si="37"/>
        <v>1682351</v>
      </c>
      <c r="H172" s="95">
        <f t="shared" si="37"/>
        <v>68238</v>
      </c>
      <c r="I172" s="95">
        <f t="shared" si="37"/>
        <v>0</v>
      </c>
      <c r="J172" s="95">
        <f t="shared" si="37"/>
        <v>0</v>
      </c>
      <c r="K172" s="95">
        <f t="shared" si="37"/>
        <v>0</v>
      </c>
      <c r="L172" s="95">
        <f t="shared" si="37"/>
        <v>0</v>
      </c>
      <c r="M172" s="95">
        <f t="shared" si="37"/>
        <v>0</v>
      </c>
      <c r="N172" s="95">
        <f t="shared" si="37"/>
        <v>0</v>
      </c>
      <c r="O172" s="95">
        <f t="shared" si="22"/>
        <v>0</v>
      </c>
      <c r="P172" s="89">
        <f t="shared" si="20"/>
        <v>1905089</v>
      </c>
    </row>
    <row r="173" spans="1:16" s="15" customFormat="1" ht="74.25" customHeight="1">
      <c r="A173" s="75" t="s">
        <v>267</v>
      </c>
      <c r="B173" s="75"/>
      <c r="C173" s="75"/>
      <c r="D173" s="73" t="s">
        <v>266</v>
      </c>
      <c r="E173" s="99">
        <f>E174</f>
        <v>1905089</v>
      </c>
      <c r="F173" s="99">
        <f t="shared" si="37"/>
        <v>1905089</v>
      </c>
      <c r="G173" s="99">
        <f t="shared" si="37"/>
        <v>1682351</v>
      </c>
      <c r="H173" s="99">
        <f t="shared" si="37"/>
        <v>68238</v>
      </c>
      <c r="I173" s="99">
        <f t="shared" si="37"/>
        <v>0</v>
      </c>
      <c r="J173" s="99">
        <f t="shared" si="37"/>
        <v>0</v>
      </c>
      <c r="K173" s="99">
        <f t="shared" si="37"/>
        <v>0</v>
      </c>
      <c r="L173" s="99">
        <f t="shared" si="37"/>
        <v>0</v>
      </c>
      <c r="M173" s="99">
        <f t="shared" si="37"/>
        <v>0</v>
      </c>
      <c r="N173" s="99">
        <f t="shared" si="37"/>
        <v>0</v>
      </c>
      <c r="O173" s="99">
        <f t="shared" si="22"/>
        <v>0</v>
      </c>
      <c r="P173" s="90">
        <f t="shared" si="20"/>
        <v>1905089</v>
      </c>
    </row>
    <row r="174" spans="1:16" ht="123" customHeight="1" thickBot="1">
      <c r="A174" s="79" t="s">
        <v>268</v>
      </c>
      <c r="B174" s="79" t="s">
        <v>130</v>
      </c>
      <c r="C174" s="79" t="s">
        <v>35</v>
      </c>
      <c r="D174" s="70" t="s">
        <v>131</v>
      </c>
      <c r="E174" s="94">
        <f>F174</f>
        <v>1905089</v>
      </c>
      <c r="F174" s="94">
        <f>1760259+77830+67000</f>
        <v>1905089</v>
      </c>
      <c r="G174" s="94">
        <f>1604521+77830</f>
        <v>1682351</v>
      </c>
      <c r="H174" s="94">
        <v>68238</v>
      </c>
      <c r="I174" s="94"/>
      <c r="J174" s="94">
        <f t="shared" si="21"/>
        <v>0</v>
      </c>
      <c r="K174" s="94"/>
      <c r="L174" s="94"/>
      <c r="M174" s="94"/>
      <c r="N174" s="94"/>
      <c r="O174" s="94">
        <f t="shared" si="22"/>
        <v>0</v>
      </c>
      <c r="P174" s="93">
        <f t="shared" si="20"/>
        <v>1905089</v>
      </c>
    </row>
    <row r="175" spans="1:16" s="15" customFormat="1" ht="72">
      <c r="A175" s="75" t="s">
        <v>269</v>
      </c>
      <c r="B175" s="75"/>
      <c r="C175" s="75"/>
      <c r="D175" s="73" t="s">
        <v>270</v>
      </c>
      <c r="E175" s="95">
        <f aca="true" t="shared" si="38" ref="E175:N175">E176</f>
        <v>4911173</v>
      </c>
      <c r="F175" s="95">
        <f t="shared" si="38"/>
        <v>4331819</v>
      </c>
      <c r="G175" s="95">
        <f t="shared" si="38"/>
        <v>3124416</v>
      </c>
      <c r="H175" s="95">
        <f t="shared" si="38"/>
        <v>94184</v>
      </c>
      <c r="I175" s="95">
        <f t="shared" si="38"/>
        <v>405000</v>
      </c>
      <c r="J175" s="95">
        <f t="shared" si="38"/>
        <v>0</v>
      </c>
      <c r="K175" s="95">
        <f t="shared" si="38"/>
        <v>0</v>
      </c>
      <c r="L175" s="95">
        <f t="shared" si="38"/>
        <v>0</v>
      </c>
      <c r="M175" s="95">
        <f t="shared" si="38"/>
        <v>0</v>
      </c>
      <c r="N175" s="95">
        <f t="shared" si="38"/>
        <v>0</v>
      </c>
      <c r="O175" s="95">
        <f t="shared" si="22"/>
        <v>0</v>
      </c>
      <c r="P175" s="89">
        <f t="shared" si="20"/>
        <v>4911173</v>
      </c>
    </row>
    <row r="176" spans="1:16" s="15" customFormat="1" ht="72">
      <c r="A176" s="75" t="s">
        <v>271</v>
      </c>
      <c r="B176" s="75"/>
      <c r="C176" s="75"/>
      <c r="D176" s="73" t="s">
        <v>270</v>
      </c>
      <c r="E176" s="99">
        <f>E177+E178+E179+E182</f>
        <v>4911173</v>
      </c>
      <c r="F176" s="99">
        <f>F177+F178+F179+F182</f>
        <v>4331819</v>
      </c>
      <c r="G176" s="99">
        <f>G177+G178+G179+G182</f>
        <v>3124416</v>
      </c>
      <c r="H176" s="99">
        <f>H177+H178+H179+H182</f>
        <v>94184</v>
      </c>
      <c r="I176" s="99">
        <f>I177+I178+I179+I182</f>
        <v>405000</v>
      </c>
      <c r="J176" s="99">
        <f>J177+J178</f>
        <v>0</v>
      </c>
      <c r="K176" s="99">
        <f>K177+K178</f>
        <v>0</v>
      </c>
      <c r="L176" s="99">
        <f>L177+L178</f>
        <v>0</v>
      </c>
      <c r="M176" s="99">
        <f>M177+M178</f>
        <v>0</v>
      </c>
      <c r="N176" s="99">
        <f>N177+N178</f>
        <v>0</v>
      </c>
      <c r="O176" s="99">
        <f t="shared" si="22"/>
        <v>0</v>
      </c>
      <c r="P176" s="90">
        <f t="shared" si="20"/>
        <v>4911173</v>
      </c>
    </row>
    <row r="177" spans="1:16" ht="123">
      <c r="A177" s="80" t="s">
        <v>272</v>
      </c>
      <c r="B177" s="80" t="s">
        <v>130</v>
      </c>
      <c r="C177" s="80" t="s">
        <v>35</v>
      </c>
      <c r="D177" s="69" t="s">
        <v>131</v>
      </c>
      <c r="E177" s="91">
        <f>F177</f>
        <v>3356621</v>
      </c>
      <c r="F177" s="91">
        <f>3159793+50000+137207+476620-46999-100000-50000-270000</f>
        <v>3356621</v>
      </c>
      <c r="G177" s="91">
        <f>50000+2937209+137207</f>
        <v>3124416</v>
      </c>
      <c r="H177" s="91">
        <v>94184</v>
      </c>
      <c r="I177" s="91"/>
      <c r="J177" s="91">
        <f t="shared" si="21"/>
        <v>0</v>
      </c>
      <c r="K177" s="91"/>
      <c r="L177" s="91"/>
      <c r="M177" s="91"/>
      <c r="N177" s="91"/>
      <c r="O177" s="91">
        <f t="shared" si="22"/>
        <v>0</v>
      </c>
      <c r="P177" s="92">
        <f t="shared" si="20"/>
        <v>3356621</v>
      </c>
    </row>
    <row r="178" spans="1:16" ht="24">
      <c r="A178" s="77" t="s">
        <v>273</v>
      </c>
      <c r="B178" s="77" t="s">
        <v>274</v>
      </c>
      <c r="C178" s="77" t="s">
        <v>42</v>
      </c>
      <c r="D178" s="57" t="s">
        <v>275</v>
      </c>
      <c r="E178" s="91">
        <f>500000+1000000-74215-106455-44542-18345-65636-195908-547635-49532-129796-93582</f>
        <v>174354</v>
      </c>
      <c r="F178" s="91"/>
      <c r="G178" s="91"/>
      <c r="H178" s="91"/>
      <c r="I178" s="91"/>
      <c r="J178" s="91">
        <f t="shared" si="21"/>
        <v>0</v>
      </c>
      <c r="K178" s="91"/>
      <c r="L178" s="91"/>
      <c r="M178" s="91"/>
      <c r="N178" s="91"/>
      <c r="O178" s="91">
        <f t="shared" si="22"/>
        <v>0</v>
      </c>
      <c r="P178" s="92">
        <f t="shared" si="20"/>
        <v>174354</v>
      </c>
    </row>
    <row r="179" spans="1:16" ht="48.75">
      <c r="A179" s="77" t="s">
        <v>354</v>
      </c>
      <c r="B179" s="77" t="s">
        <v>355</v>
      </c>
      <c r="C179" s="77" t="s">
        <v>41</v>
      </c>
      <c r="D179" s="57" t="s">
        <v>335</v>
      </c>
      <c r="E179" s="105">
        <f>E181</f>
        <v>202048</v>
      </c>
      <c r="F179" s="105">
        <f>F181</f>
        <v>202048</v>
      </c>
      <c r="G179" s="106">
        <f>G181</f>
        <v>0</v>
      </c>
      <c r="H179" s="106">
        <f>H181</f>
        <v>0</v>
      </c>
      <c r="I179" s="106">
        <f>I181</f>
        <v>0</v>
      </c>
      <c r="J179" s="91"/>
      <c r="K179" s="91"/>
      <c r="L179" s="91"/>
      <c r="M179" s="91"/>
      <c r="N179" s="91"/>
      <c r="O179" s="91"/>
      <c r="P179" s="92">
        <f t="shared" si="20"/>
        <v>202048</v>
      </c>
    </row>
    <row r="180" spans="1:16" ht="24">
      <c r="A180" s="77"/>
      <c r="B180" s="77"/>
      <c r="C180" s="77"/>
      <c r="D180" s="57" t="s">
        <v>356</v>
      </c>
      <c r="E180" s="106"/>
      <c r="F180" s="106"/>
      <c r="G180" s="106"/>
      <c r="H180" s="106"/>
      <c r="I180" s="106"/>
      <c r="J180" s="91"/>
      <c r="K180" s="91"/>
      <c r="L180" s="91"/>
      <c r="M180" s="91"/>
      <c r="N180" s="91"/>
      <c r="O180" s="91"/>
      <c r="P180" s="92">
        <f aca="true" t="shared" si="39" ref="P180:P191">E180+J180</f>
        <v>0</v>
      </c>
    </row>
    <row r="181" spans="1:16" ht="123">
      <c r="A181" s="77"/>
      <c r="B181" s="77"/>
      <c r="C181" s="77"/>
      <c r="D181" s="57" t="s">
        <v>357</v>
      </c>
      <c r="E181" s="105">
        <f>F181+H181</f>
        <v>202048</v>
      </c>
      <c r="F181" s="105">
        <v>202048</v>
      </c>
      <c r="G181" s="106"/>
      <c r="H181" s="106"/>
      <c r="I181" s="106"/>
      <c r="J181" s="91"/>
      <c r="K181" s="91"/>
      <c r="L181" s="91"/>
      <c r="M181" s="91"/>
      <c r="N181" s="91"/>
      <c r="O181" s="91"/>
      <c r="P181" s="92">
        <f t="shared" si="39"/>
        <v>202048</v>
      </c>
    </row>
    <row r="182" spans="1:16" ht="151.5" customHeight="1">
      <c r="A182" s="77" t="s">
        <v>358</v>
      </c>
      <c r="B182" s="77" t="s">
        <v>359</v>
      </c>
      <c r="C182" s="77" t="s">
        <v>41</v>
      </c>
      <c r="D182" s="57" t="s">
        <v>360</v>
      </c>
      <c r="E182" s="91">
        <f>SUM(E184:E191)</f>
        <v>1178150</v>
      </c>
      <c r="F182" s="91">
        <f>SUM(F184:F191)</f>
        <v>773150</v>
      </c>
      <c r="G182" s="91">
        <f>SUM(G184:G191)</f>
        <v>0</v>
      </c>
      <c r="H182" s="91">
        <f>SUM(H184:H191)</f>
        <v>0</v>
      </c>
      <c r="I182" s="91">
        <f>SUM(I184:I191)</f>
        <v>405000</v>
      </c>
      <c r="J182" s="91"/>
      <c r="K182" s="91"/>
      <c r="L182" s="91"/>
      <c r="M182" s="91"/>
      <c r="N182" s="91"/>
      <c r="O182" s="91"/>
      <c r="P182" s="92">
        <f t="shared" si="39"/>
        <v>1178150</v>
      </c>
    </row>
    <row r="183" spans="1:16" ht="24">
      <c r="A183" s="77"/>
      <c r="B183" s="77"/>
      <c r="C183" s="77"/>
      <c r="D183" s="57" t="s">
        <v>356</v>
      </c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2">
        <f t="shared" si="39"/>
        <v>0</v>
      </c>
    </row>
    <row r="184" spans="1:16" ht="147">
      <c r="A184" s="77"/>
      <c r="B184" s="77"/>
      <c r="C184" s="77"/>
      <c r="D184" s="57" t="s">
        <v>361</v>
      </c>
      <c r="E184" s="91">
        <f aca="true" t="shared" si="40" ref="E184:E190">F184+I184</f>
        <v>300000</v>
      </c>
      <c r="F184" s="91"/>
      <c r="G184" s="91"/>
      <c r="H184" s="91"/>
      <c r="I184" s="91">
        <v>300000</v>
      </c>
      <c r="J184" s="91"/>
      <c r="K184" s="91"/>
      <c r="L184" s="91"/>
      <c r="M184" s="91"/>
      <c r="N184" s="91"/>
      <c r="O184" s="91"/>
      <c r="P184" s="92">
        <f t="shared" si="39"/>
        <v>300000</v>
      </c>
    </row>
    <row r="185" spans="1:16" ht="123">
      <c r="A185" s="77"/>
      <c r="B185" s="77"/>
      <c r="C185" s="77"/>
      <c r="D185" s="56" t="s">
        <v>362</v>
      </c>
      <c r="E185" s="91">
        <f t="shared" si="40"/>
        <v>250000</v>
      </c>
      <c r="F185" s="91">
        <f>120000+20000+50000</f>
        <v>190000</v>
      </c>
      <c r="G185" s="91"/>
      <c r="H185" s="91"/>
      <c r="I185" s="91">
        <v>60000</v>
      </c>
      <c r="J185" s="91"/>
      <c r="K185" s="91"/>
      <c r="L185" s="91"/>
      <c r="M185" s="91"/>
      <c r="N185" s="91"/>
      <c r="O185" s="91"/>
      <c r="P185" s="92">
        <f t="shared" si="39"/>
        <v>250000</v>
      </c>
    </row>
    <row r="186" spans="1:16" ht="294.75">
      <c r="A186" s="77"/>
      <c r="B186" s="77"/>
      <c r="C186" s="77"/>
      <c r="D186" s="56" t="s">
        <v>363</v>
      </c>
      <c r="E186" s="91">
        <f t="shared" si="40"/>
        <v>150000</v>
      </c>
      <c r="F186" s="91">
        <v>150000</v>
      </c>
      <c r="G186" s="91"/>
      <c r="H186" s="91"/>
      <c r="I186" s="91"/>
      <c r="J186" s="91"/>
      <c r="K186" s="91"/>
      <c r="L186" s="91"/>
      <c r="M186" s="91"/>
      <c r="N186" s="91"/>
      <c r="O186" s="91"/>
      <c r="P186" s="92">
        <f t="shared" si="39"/>
        <v>150000</v>
      </c>
    </row>
    <row r="187" spans="1:16" ht="125.25" customHeight="1">
      <c r="A187" s="77"/>
      <c r="B187" s="77"/>
      <c r="C187" s="77"/>
      <c r="D187" s="56" t="s">
        <v>364</v>
      </c>
      <c r="E187" s="91">
        <f t="shared" si="40"/>
        <v>100000</v>
      </c>
      <c r="F187" s="91">
        <v>100000</v>
      </c>
      <c r="G187" s="91"/>
      <c r="H187" s="91"/>
      <c r="I187" s="91"/>
      <c r="J187" s="91"/>
      <c r="K187" s="91"/>
      <c r="L187" s="91"/>
      <c r="M187" s="91"/>
      <c r="N187" s="91"/>
      <c r="O187" s="91"/>
      <c r="P187" s="92">
        <f t="shared" si="39"/>
        <v>100000</v>
      </c>
    </row>
    <row r="188" spans="1:16" ht="175.5" customHeight="1">
      <c r="A188" s="77"/>
      <c r="B188" s="77"/>
      <c r="C188" s="77"/>
      <c r="D188" s="57" t="s">
        <v>365</v>
      </c>
      <c r="E188" s="91">
        <f t="shared" si="40"/>
        <v>69650</v>
      </c>
      <c r="F188" s="91">
        <v>69650</v>
      </c>
      <c r="G188" s="91"/>
      <c r="H188" s="91"/>
      <c r="I188" s="91"/>
      <c r="J188" s="91"/>
      <c r="K188" s="91"/>
      <c r="L188" s="91"/>
      <c r="M188" s="91"/>
      <c r="N188" s="91"/>
      <c r="O188" s="91"/>
      <c r="P188" s="92">
        <f t="shared" si="39"/>
        <v>69650</v>
      </c>
    </row>
    <row r="189" spans="1:16" ht="98.25">
      <c r="A189" s="77"/>
      <c r="B189" s="77"/>
      <c r="C189" s="77"/>
      <c r="D189" s="56" t="s">
        <v>366</v>
      </c>
      <c r="E189" s="91">
        <f t="shared" si="40"/>
        <v>48500</v>
      </c>
      <c r="F189" s="91">
        <v>48500</v>
      </c>
      <c r="G189" s="91"/>
      <c r="H189" s="91"/>
      <c r="I189" s="91"/>
      <c r="J189" s="91"/>
      <c r="K189" s="91"/>
      <c r="L189" s="91"/>
      <c r="M189" s="91"/>
      <c r="N189" s="91"/>
      <c r="O189" s="91"/>
      <c r="P189" s="92">
        <f t="shared" si="39"/>
        <v>48500</v>
      </c>
    </row>
    <row r="190" spans="1:16" ht="196.5">
      <c r="A190" s="76"/>
      <c r="B190" s="76"/>
      <c r="C190" s="76"/>
      <c r="D190" s="57" t="s">
        <v>399</v>
      </c>
      <c r="E190" s="111">
        <f t="shared" si="40"/>
        <v>60000</v>
      </c>
      <c r="F190" s="111">
        <v>15000</v>
      </c>
      <c r="G190" s="111"/>
      <c r="H190" s="111"/>
      <c r="I190" s="111">
        <f>30000+15000</f>
        <v>45000</v>
      </c>
      <c r="J190" s="91"/>
      <c r="K190" s="91"/>
      <c r="L190" s="91"/>
      <c r="M190" s="91"/>
      <c r="N190" s="91"/>
      <c r="O190" s="91"/>
      <c r="P190" s="92">
        <f t="shared" si="39"/>
        <v>60000</v>
      </c>
    </row>
    <row r="191" spans="1:16" ht="87.75" customHeight="1">
      <c r="A191" s="77"/>
      <c r="B191" s="77"/>
      <c r="C191" s="77"/>
      <c r="D191" s="57" t="s">
        <v>398</v>
      </c>
      <c r="E191" s="111">
        <f>F191</f>
        <v>200000</v>
      </c>
      <c r="F191" s="111">
        <v>200000</v>
      </c>
      <c r="G191" s="111"/>
      <c r="H191" s="111"/>
      <c r="I191" s="111"/>
      <c r="J191" s="91"/>
      <c r="K191" s="91"/>
      <c r="L191" s="91"/>
      <c r="M191" s="91"/>
      <c r="N191" s="91"/>
      <c r="O191" s="91"/>
      <c r="P191" s="92">
        <f t="shared" si="39"/>
        <v>200000</v>
      </c>
    </row>
    <row r="192" spans="1:16" ht="24">
      <c r="A192" s="87" t="s">
        <v>24</v>
      </c>
      <c r="B192" s="87" t="s">
        <v>24</v>
      </c>
      <c r="C192" s="87" t="s">
        <v>24</v>
      </c>
      <c r="D192" s="88" t="s">
        <v>23</v>
      </c>
      <c r="E192" s="99">
        <f aca="true" t="shared" si="41" ref="E192:O192">E17+E67+E96+E117+E129+E143+E149+E152+E158+E172+E175</f>
        <v>492100782</v>
      </c>
      <c r="F192" s="99">
        <f t="shared" si="41"/>
        <v>491521428</v>
      </c>
      <c r="G192" s="99">
        <f t="shared" si="41"/>
        <v>315547684</v>
      </c>
      <c r="H192" s="99">
        <f t="shared" si="41"/>
        <v>35807937</v>
      </c>
      <c r="I192" s="99">
        <f t="shared" si="41"/>
        <v>405000</v>
      </c>
      <c r="J192" s="99">
        <f t="shared" si="41"/>
        <v>56012775</v>
      </c>
      <c r="K192" s="99">
        <f t="shared" si="41"/>
        <v>45683806</v>
      </c>
      <c r="L192" s="99">
        <f t="shared" si="41"/>
        <v>10048969</v>
      </c>
      <c r="M192" s="99">
        <f t="shared" si="41"/>
        <v>2306953</v>
      </c>
      <c r="N192" s="99">
        <f t="shared" si="41"/>
        <v>73626</v>
      </c>
      <c r="O192" s="99">
        <f t="shared" si="41"/>
        <v>45963806</v>
      </c>
      <c r="P192" s="90">
        <f>E192+J192</f>
        <v>548113557</v>
      </c>
    </row>
    <row r="193" spans="1:16" ht="24">
      <c r="A193" s="47"/>
      <c r="B193" s="47"/>
      <c r="C193" s="47"/>
      <c r="D193" s="48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50"/>
    </row>
    <row r="194" spans="1:16" ht="24">
      <c r="A194" s="47"/>
      <c r="B194" s="47"/>
      <c r="C194" s="47"/>
      <c r="D194" s="48"/>
      <c r="E194" s="49"/>
      <c r="F194" s="109"/>
      <c r="G194" s="49"/>
      <c r="H194" s="49"/>
      <c r="I194" s="49"/>
      <c r="J194" s="49"/>
      <c r="K194" s="49"/>
      <c r="L194" s="49"/>
      <c r="M194" s="49"/>
      <c r="N194" s="49"/>
      <c r="O194" s="49"/>
      <c r="P194" s="50"/>
    </row>
    <row r="195" spans="4:16" ht="22.5">
      <c r="D195" s="17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</row>
    <row r="196" spans="2:16" ht="22.5">
      <c r="B196" s="17"/>
      <c r="C196" s="10" t="s">
        <v>705</v>
      </c>
      <c r="D196" s="43"/>
      <c r="E196" s="17"/>
      <c r="F196" s="110"/>
      <c r="G196" s="43"/>
      <c r="H196" s="43"/>
      <c r="I196" s="43"/>
      <c r="J196" s="17"/>
      <c r="K196" s="17"/>
      <c r="L196" s="17"/>
      <c r="M196" s="43"/>
      <c r="N196" s="10" t="s">
        <v>706</v>
      </c>
      <c r="O196" s="43"/>
      <c r="P196" s="43"/>
    </row>
    <row r="197" spans="3:16" ht="22.5" hidden="1">
      <c r="C197" s="293" t="s">
        <v>2</v>
      </c>
      <c r="D197" s="293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</row>
    <row r="198" spans="3:16" ht="22.5" hidden="1">
      <c r="C198" s="32" t="s">
        <v>3</v>
      </c>
      <c r="D198" s="14"/>
      <c r="E198" s="40">
        <f aca="true" t="shared" si="42" ref="E198:P198">E19+E23+E69+E98+E119+E131+E145+E151+E154+E160+E174+E177</f>
        <v>55230310</v>
      </c>
      <c r="F198" s="40"/>
      <c r="G198" s="40">
        <f t="shared" si="42"/>
        <v>50204841</v>
      </c>
      <c r="H198" s="40">
        <f t="shared" si="42"/>
        <v>1919901</v>
      </c>
      <c r="I198" s="40">
        <f t="shared" si="42"/>
        <v>0</v>
      </c>
      <c r="J198" s="40">
        <f t="shared" si="42"/>
        <v>354683</v>
      </c>
      <c r="K198" s="40">
        <f t="shared" si="42"/>
        <v>203410</v>
      </c>
      <c r="L198" s="40">
        <f t="shared" si="42"/>
        <v>151273</v>
      </c>
      <c r="M198" s="40">
        <f t="shared" si="42"/>
        <v>18300</v>
      </c>
      <c r="N198" s="40">
        <f t="shared" si="42"/>
        <v>12590</v>
      </c>
      <c r="O198" s="40">
        <f t="shared" si="42"/>
        <v>203410</v>
      </c>
      <c r="P198" s="40">
        <f t="shared" si="42"/>
        <v>55584993</v>
      </c>
    </row>
    <row r="199" spans="3:16" ht="22.5" hidden="1">
      <c r="C199" s="33">
        <v>1000</v>
      </c>
      <c r="D199" s="14"/>
      <c r="E199" s="40">
        <f>E70+E71+E83+E84+E85+E86+E89+E120</f>
        <v>288204713</v>
      </c>
      <c r="F199" s="40"/>
      <c r="G199" s="40">
        <f>G70+G71+G83+G84+G85+G86+G89+G120</f>
        <v>239099658</v>
      </c>
      <c r="H199" s="40">
        <f>H70+H71+H83+H84+H85+H86+H89+H120</f>
        <v>30259221</v>
      </c>
      <c r="I199" s="40">
        <f aca="true" t="shared" si="43" ref="I199:P199">I70+I71+I83+I84+I85+I86+I87+I120</f>
        <v>0</v>
      </c>
      <c r="J199" s="40">
        <f t="shared" si="43"/>
        <v>10498143</v>
      </c>
      <c r="K199" s="40">
        <f t="shared" si="43"/>
        <v>1488465</v>
      </c>
      <c r="L199" s="40">
        <f t="shared" si="43"/>
        <v>9009678</v>
      </c>
      <c r="M199" s="40">
        <f t="shared" si="43"/>
        <v>2270353</v>
      </c>
      <c r="N199" s="40">
        <f t="shared" si="43"/>
        <v>41558</v>
      </c>
      <c r="O199" s="40">
        <f t="shared" si="43"/>
        <v>1488465</v>
      </c>
      <c r="P199" s="40">
        <f t="shared" si="43"/>
        <v>299584920</v>
      </c>
    </row>
    <row r="200" spans="3:16" ht="22.5" hidden="1">
      <c r="C200" s="33">
        <v>2000</v>
      </c>
      <c r="D200" s="14"/>
      <c r="E200" s="40">
        <f aca="true" t="shared" si="44" ref="E200:P200">E25+E32+E34</f>
        <v>37786109</v>
      </c>
      <c r="F200" s="40"/>
      <c r="G200" s="40">
        <f t="shared" si="44"/>
        <v>0</v>
      </c>
      <c r="H200" s="40">
        <f t="shared" si="44"/>
        <v>0</v>
      </c>
      <c r="I200" s="40">
        <f t="shared" si="44"/>
        <v>0</v>
      </c>
      <c r="J200" s="40">
        <f t="shared" si="44"/>
        <v>5873900</v>
      </c>
      <c r="K200" s="40">
        <f t="shared" si="44"/>
        <v>5873900</v>
      </c>
      <c r="L200" s="40">
        <f t="shared" si="44"/>
        <v>0</v>
      </c>
      <c r="M200" s="40">
        <f t="shared" si="44"/>
        <v>0</v>
      </c>
      <c r="N200" s="40">
        <f t="shared" si="44"/>
        <v>0</v>
      </c>
      <c r="O200" s="40">
        <f t="shared" si="44"/>
        <v>5873900</v>
      </c>
      <c r="P200" s="40">
        <f t="shared" si="44"/>
        <v>43660009</v>
      </c>
    </row>
    <row r="201" spans="3:16" ht="22.5" hidden="1">
      <c r="C201" s="33">
        <v>3000</v>
      </c>
      <c r="D201" s="14"/>
      <c r="E201" s="40">
        <f aca="true" t="shared" si="45" ref="E201:P201">E40+E41+E43+E99+E100+E101+E102+E105+E106+E107+E108+E109+E110+E111+E112+E114+E132+E133</f>
        <v>13793370</v>
      </c>
      <c r="F201" s="40"/>
      <c r="G201" s="40">
        <f t="shared" si="45"/>
        <v>6226537</v>
      </c>
      <c r="H201" s="40">
        <f t="shared" si="45"/>
        <v>467444</v>
      </c>
      <c r="I201" s="40">
        <f t="shared" si="45"/>
        <v>0</v>
      </c>
      <c r="J201" s="40">
        <f t="shared" si="45"/>
        <v>59400</v>
      </c>
      <c r="K201" s="40">
        <f t="shared" si="45"/>
        <v>0</v>
      </c>
      <c r="L201" s="40">
        <f t="shared" si="45"/>
        <v>59400</v>
      </c>
      <c r="M201" s="40">
        <f t="shared" si="45"/>
        <v>0</v>
      </c>
      <c r="N201" s="40">
        <f t="shared" si="45"/>
        <v>6588</v>
      </c>
      <c r="O201" s="40">
        <f t="shared" si="45"/>
        <v>0</v>
      </c>
      <c r="P201" s="40">
        <f t="shared" si="45"/>
        <v>13852770</v>
      </c>
    </row>
    <row r="202" spans="3:16" ht="22.5" hidden="1">
      <c r="C202" s="33">
        <v>4000</v>
      </c>
      <c r="D202" s="14"/>
      <c r="E202" s="40">
        <f aca="true" t="shared" si="46" ref="E202:P202">E121+E122+E123+E124+E125</f>
        <v>17229115</v>
      </c>
      <c r="F202" s="40"/>
      <c r="G202" s="40">
        <f t="shared" si="46"/>
        <v>13274149</v>
      </c>
      <c r="H202" s="40">
        <f t="shared" si="46"/>
        <v>2076541</v>
      </c>
      <c r="I202" s="40">
        <f t="shared" si="46"/>
        <v>0</v>
      </c>
      <c r="J202" s="40">
        <f t="shared" si="46"/>
        <v>1098342</v>
      </c>
      <c r="K202" s="40">
        <f t="shared" si="46"/>
        <v>915682</v>
      </c>
      <c r="L202" s="40">
        <f t="shared" si="46"/>
        <v>182660</v>
      </c>
      <c r="M202" s="40">
        <f t="shared" si="46"/>
        <v>18300</v>
      </c>
      <c r="N202" s="40">
        <f t="shared" si="46"/>
        <v>12890</v>
      </c>
      <c r="O202" s="40">
        <f t="shared" si="46"/>
        <v>915682</v>
      </c>
      <c r="P202" s="40">
        <f t="shared" si="46"/>
        <v>18327457</v>
      </c>
    </row>
    <row r="203" spans="3:16" ht="22.5" hidden="1">
      <c r="C203" s="33">
        <v>5000</v>
      </c>
      <c r="D203" s="14"/>
      <c r="E203" s="40">
        <f aca="true" t="shared" si="47" ref="E203:P203">E91+E135+E136+E137+E138+E139</f>
        <v>12010661</v>
      </c>
      <c r="F203" s="40"/>
      <c r="G203" s="40">
        <f t="shared" si="47"/>
        <v>5462119</v>
      </c>
      <c r="H203" s="40">
        <f t="shared" si="47"/>
        <v>409530</v>
      </c>
      <c r="I203" s="40">
        <f t="shared" si="47"/>
        <v>0</v>
      </c>
      <c r="J203" s="40">
        <f t="shared" si="47"/>
        <v>10000</v>
      </c>
      <c r="K203" s="40">
        <f t="shared" si="47"/>
        <v>10000</v>
      </c>
      <c r="L203" s="40">
        <f t="shared" si="47"/>
        <v>0</v>
      </c>
      <c r="M203" s="40">
        <f t="shared" si="47"/>
        <v>0</v>
      </c>
      <c r="N203" s="40">
        <f t="shared" si="47"/>
        <v>0</v>
      </c>
      <c r="O203" s="40">
        <f t="shared" si="47"/>
        <v>10000</v>
      </c>
      <c r="P203" s="40">
        <f t="shared" si="47"/>
        <v>12020661</v>
      </c>
    </row>
    <row r="204" spans="3:16" ht="22.5" hidden="1">
      <c r="C204" s="33">
        <v>6000</v>
      </c>
      <c r="D204" s="14"/>
      <c r="E204" s="40">
        <f aca="true" t="shared" si="48" ref="E204:P204">E44+E46+E45+E47+E48+E49+E51+E162+E163+E164+E165</f>
        <v>40109332</v>
      </c>
      <c r="F204" s="40"/>
      <c r="G204" s="40">
        <f t="shared" si="48"/>
        <v>0</v>
      </c>
      <c r="H204" s="40">
        <f t="shared" si="48"/>
        <v>638452</v>
      </c>
      <c r="I204" s="40">
        <f t="shared" si="48"/>
        <v>0</v>
      </c>
      <c r="J204" s="40">
        <f t="shared" si="48"/>
        <v>776361</v>
      </c>
      <c r="K204" s="40">
        <f t="shared" si="48"/>
        <v>776361</v>
      </c>
      <c r="L204" s="40">
        <f t="shared" si="48"/>
        <v>0</v>
      </c>
      <c r="M204" s="40">
        <f t="shared" si="48"/>
        <v>0</v>
      </c>
      <c r="N204" s="40">
        <f t="shared" si="48"/>
        <v>0</v>
      </c>
      <c r="O204" s="40">
        <f t="shared" si="48"/>
        <v>776361</v>
      </c>
      <c r="P204" s="40">
        <f t="shared" si="48"/>
        <v>40885693</v>
      </c>
    </row>
    <row r="205" spans="3:16" ht="22.5" hidden="1">
      <c r="C205" s="33">
        <v>7000</v>
      </c>
      <c r="D205" s="14"/>
      <c r="E205" s="40">
        <f aca="true" t="shared" si="49" ref="E205:P205">E52+E56+E59+E60+E61+E62+E93+E116+E128+E142+E155+E166+E167+E168+E169+E170+E171+E148</f>
        <v>15023937</v>
      </c>
      <c r="F205" s="40"/>
      <c r="G205" s="40">
        <f t="shared" si="49"/>
        <v>350638</v>
      </c>
      <c r="H205" s="40">
        <f t="shared" si="49"/>
        <v>36848</v>
      </c>
      <c r="I205" s="40">
        <f t="shared" si="49"/>
        <v>0</v>
      </c>
      <c r="J205" s="40">
        <f t="shared" si="49"/>
        <v>16135508</v>
      </c>
      <c r="K205" s="40">
        <f t="shared" si="49"/>
        <v>16135508</v>
      </c>
      <c r="L205" s="40">
        <f t="shared" si="49"/>
        <v>0</v>
      </c>
      <c r="M205" s="40">
        <f t="shared" si="49"/>
        <v>0</v>
      </c>
      <c r="N205" s="40">
        <f t="shared" si="49"/>
        <v>0</v>
      </c>
      <c r="O205" s="40">
        <f t="shared" si="49"/>
        <v>16135508</v>
      </c>
      <c r="P205" s="40">
        <f t="shared" si="49"/>
        <v>31159445</v>
      </c>
    </row>
    <row r="206" spans="3:16" ht="22.5" hidden="1">
      <c r="C206" s="33">
        <v>8000</v>
      </c>
      <c r="D206" s="14"/>
      <c r="E206" s="40">
        <f aca="true" t="shared" si="50" ref="E206:P206">E63+E64+E65+E66+E157+E178</f>
        <v>5223970</v>
      </c>
      <c r="F206" s="40"/>
      <c r="G206" s="40">
        <f t="shared" si="50"/>
        <v>0</v>
      </c>
      <c r="H206" s="40">
        <f t="shared" si="50"/>
        <v>0</v>
      </c>
      <c r="I206" s="40">
        <f t="shared" si="50"/>
        <v>0</v>
      </c>
      <c r="J206" s="40">
        <f t="shared" si="50"/>
        <v>944804</v>
      </c>
      <c r="K206" s="40">
        <f t="shared" si="50"/>
        <v>18846</v>
      </c>
      <c r="L206" s="40">
        <f t="shared" si="50"/>
        <v>645958</v>
      </c>
      <c r="M206" s="40">
        <f t="shared" si="50"/>
        <v>0</v>
      </c>
      <c r="N206" s="40">
        <f t="shared" si="50"/>
        <v>0</v>
      </c>
      <c r="O206" s="40">
        <f t="shared" si="50"/>
        <v>298846</v>
      </c>
      <c r="P206" s="40">
        <f t="shared" si="50"/>
        <v>6168774</v>
      </c>
    </row>
    <row r="207" spans="3:16" ht="21" hidden="1">
      <c r="C207" s="33">
        <v>9000</v>
      </c>
      <c r="D207" s="14" t="s">
        <v>1</v>
      </c>
      <c r="E207" s="41">
        <v>11080290</v>
      </c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>
        <v>11080290</v>
      </c>
    </row>
    <row r="208" spans="3:16" ht="22.5" hidden="1">
      <c r="C208" s="14" t="s">
        <v>17</v>
      </c>
      <c r="D208" s="14"/>
      <c r="E208" s="40">
        <f>SUM(E197:E207)</f>
        <v>495691807</v>
      </c>
      <c r="F208" s="40"/>
      <c r="G208" s="40">
        <f aca="true" t="shared" si="51" ref="G208:P208">SUM(G197:G207)</f>
        <v>314617942</v>
      </c>
      <c r="H208" s="40">
        <f t="shared" si="51"/>
        <v>35807937</v>
      </c>
      <c r="I208" s="40">
        <f t="shared" si="51"/>
        <v>0</v>
      </c>
      <c r="J208" s="40">
        <f t="shared" si="51"/>
        <v>35751141</v>
      </c>
      <c r="K208" s="40">
        <f t="shared" si="51"/>
        <v>25422172</v>
      </c>
      <c r="L208" s="40">
        <f t="shared" si="51"/>
        <v>10048969</v>
      </c>
      <c r="M208" s="40">
        <f t="shared" si="51"/>
        <v>2306953</v>
      </c>
      <c r="N208" s="40">
        <f t="shared" si="51"/>
        <v>73626</v>
      </c>
      <c r="O208" s="40">
        <f t="shared" si="51"/>
        <v>25702172</v>
      </c>
      <c r="P208" s="40">
        <f t="shared" si="51"/>
        <v>532325012</v>
      </c>
    </row>
    <row r="209" ht="22.5" hidden="1"/>
    <row r="210" spans="5:16" ht="22.5" hidden="1">
      <c r="E210" s="10" t="e">
        <f>E192-E208-#REF!</f>
        <v>#REF!</v>
      </c>
      <c r="G210" s="10" t="e">
        <f>G192-G208-#REF!</f>
        <v>#REF!</v>
      </c>
      <c r="H210" s="10" t="e">
        <f>H192-H208-#REF!</f>
        <v>#REF!</v>
      </c>
      <c r="I210" s="10" t="e">
        <f>I192-I208-#REF!</f>
        <v>#REF!</v>
      </c>
      <c r="J210" s="10" t="e">
        <f>J192-J208-#REF!</f>
        <v>#REF!</v>
      </c>
      <c r="K210" s="10" t="e">
        <f>K192-K208-#REF!</f>
        <v>#REF!</v>
      </c>
      <c r="L210" s="10" t="e">
        <f>L192-L208-#REF!</f>
        <v>#REF!</v>
      </c>
      <c r="M210" s="10" t="e">
        <f>M192-M208-#REF!</f>
        <v>#REF!</v>
      </c>
      <c r="N210" s="10" t="e">
        <f>N192-N208-#REF!</f>
        <v>#REF!</v>
      </c>
      <c r="O210" s="10" t="e">
        <f>O192-O208-#REF!</f>
        <v>#REF!</v>
      </c>
      <c r="P210" s="10" t="e">
        <f>P192-P208-#REF!</f>
        <v>#REF!</v>
      </c>
    </row>
    <row r="211" ht="22.5" hidden="1"/>
    <row r="212" ht="22.5" hidden="1"/>
    <row r="213" ht="22.5" hidden="1"/>
  </sheetData>
  <sheetProtection/>
  <mergeCells count="19">
    <mergeCell ref="C197:D197"/>
    <mergeCell ref="D12:D15"/>
    <mergeCell ref="A8:P8"/>
    <mergeCell ref="K14:K15"/>
    <mergeCell ref="L14:L15"/>
    <mergeCell ref="O14:O15"/>
    <mergeCell ref="J12:O13"/>
    <mergeCell ref="C12:C15"/>
    <mergeCell ref="F14:F15"/>
    <mergeCell ref="A2:A4"/>
    <mergeCell ref="A12:A15"/>
    <mergeCell ref="B12:B15"/>
    <mergeCell ref="P12:P15"/>
    <mergeCell ref="G14:H14"/>
    <mergeCell ref="I14:I15"/>
    <mergeCell ref="E14:E15"/>
    <mergeCell ref="J14:J15"/>
    <mergeCell ref="E12:I13"/>
    <mergeCell ref="M14:N14"/>
  </mergeCells>
  <printOptions/>
  <pageMargins left="0.5511811023622047" right="0" top="0.984251968503937" bottom="0.984251968503937" header="0.5118110236220472" footer="0.5118110236220472"/>
  <pageSetup fitToHeight="16" horizontalDpi="600" verticalDpi="600" orientation="landscape" paperSize="9" scale="3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F1">
      <selection activeCell="M4" sqref="M4"/>
    </sheetView>
  </sheetViews>
  <sheetFormatPr defaultColWidth="9.00390625" defaultRowHeight="12.75"/>
  <cols>
    <col min="1" max="1" width="16.625" style="0" customWidth="1"/>
    <col min="2" max="2" width="23.875" style="0" customWidth="1"/>
    <col min="3" max="3" width="16.625" style="0" customWidth="1"/>
    <col min="4" max="5" width="15.625" style="0" customWidth="1"/>
    <col min="6" max="6" width="14.50390625" style="0" customWidth="1"/>
    <col min="7" max="7" width="14.375" style="0" customWidth="1"/>
    <col min="8" max="8" width="12.00390625" style="0" customWidth="1"/>
    <col min="9" max="9" width="13.875" style="0" customWidth="1"/>
    <col min="10" max="10" width="29.125" style="0" customWidth="1"/>
    <col min="11" max="11" width="15.625" style="0" hidden="1" customWidth="1"/>
    <col min="12" max="12" width="18.125" style="0" customWidth="1"/>
    <col min="13" max="13" width="18.00390625" style="0" customWidth="1"/>
    <col min="14" max="14" width="28.00390625" style="0" customWidth="1"/>
    <col min="15" max="15" width="18.625" style="0" customWidth="1"/>
    <col min="16" max="16" width="13.125" style="0" customWidth="1"/>
    <col min="17" max="17" width="28.50390625" style="0" customWidth="1"/>
    <col min="18" max="18" width="27.00390625" style="0" customWidth="1"/>
    <col min="19" max="19" width="15.375" style="0" customWidth="1"/>
  </cols>
  <sheetData>
    <row r="1" spans="1:16" ht="18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219"/>
      <c r="M1" s="30" t="s">
        <v>497</v>
      </c>
      <c r="O1" s="30"/>
      <c r="P1" s="30"/>
    </row>
    <row r="2" spans="1:16" ht="18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219"/>
      <c r="M2" s="46" t="s">
        <v>703</v>
      </c>
      <c r="O2" s="46"/>
      <c r="P2" s="46"/>
    </row>
    <row r="3" spans="1:16" ht="18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219"/>
      <c r="M3" s="30" t="s">
        <v>704</v>
      </c>
      <c r="O3" s="30"/>
      <c r="P3" s="30"/>
    </row>
    <row r="4" spans="1:16" ht="18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219"/>
      <c r="M4" s="30" t="s">
        <v>709</v>
      </c>
      <c r="O4" s="30"/>
      <c r="P4" s="30"/>
    </row>
    <row r="5" spans="1:16" ht="15">
      <c r="A5" s="19"/>
      <c r="B5" s="19"/>
      <c r="C5" s="19"/>
      <c r="D5" s="220"/>
      <c r="E5" s="220"/>
      <c r="F5" s="220"/>
      <c r="G5" s="220"/>
      <c r="H5" s="220"/>
      <c r="I5" s="220"/>
      <c r="J5" s="220"/>
      <c r="K5" s="220"/>
      <c r="L5" s="8"/>
      <c r="M5" s="8"/>
      <c r="N5" s="8"/>
      <c r="O5" s="8"/>
      <c r="P5" s="221"/>
    </row>
    <row r="6" spans="2:16" ht="29.25" customHeight="1">
      <c r="B6" s="222"/>
      <c r="C6" s="222"/>
      <c r="D6" s="309" t="s">
        <v>667</v>
      </c>
      <c r="E6" s="309"/>
      <c r="F6" s="309"/>
      <c r="G6" s="310"/>
      <c r="H6" s="310"/>
      <c r="I6" s="310"/>
      <c r="J6" s="310"/>
      <c r="K6" s="310"/>
      <c r="L6" s="310"/>
      <c r="M6" s="310"/>
      <c r="N6" s="310"/>
      <c r="O6" s="223"/>
      <c r="P6" s="222"/>
    </row>
    <row r="7" spans="1:16" ht="18">
      <c r="A7" s="199">
        <v>21528000000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</row>
    <row r="8" spans="1:16" ht="12.75">
      <c r="A8" s="201" t="s">
        <v>25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</row>
    <row r="9" spans="1:16" ht="13.5" thickBot="1">
      <c r="A9" s="225"/>
      <c r="B9" s="221"/>
      <c r="C9" s="221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</row>
    <row r="10" spans="1:19" ht="30.75" customHeight="1">
      <c r="A10" s="311" t="s">
        <v>668</v>
      </c>
      <c r="B10" s="315" t="s">
        <v>669</v>
      </c>
      <c r="C10" s="319" t="s">
        <v>670</v>
      </c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0"/>
      <c r="O10" s="320"/>
      <c r="P10" s="321"/>
      <c r="Q10" s="295" t="s">
        <v>671</v>
      </c>
      <c r="R10" s="295"/>
      <c r="S10" s="295"/>
    </row>
    <row r="11" spans="1:19" ht="30" customHeight="1">
      <c r="A11" s="312"/>
      <c r="B11" s="316"/>
      <c r="C11" s="296" t="s">
        <v>672</v>
      </c>
      <c r="D11" s="298" t="s">
        <v>673</v>
      </c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9"/>
      <c r="P11" s="300" t="s">
        <v>10</v>
      </c>
      <c r="Q11" s="298" t="s">
        <v>673</v>
      </c>
      <c r="R11" s="299"/>
      <c r="S11" s="300" t="s">
        <v>10</v>
      </c>
    </row>
    <row r="12" spans="1:19" ht="24" customHeight="1">
      <c r="A12" s="312"/>
      <c r="B12" s="316"/>
      <c r="C12" s="297"/>
      <c r="D12" s="324" t="s">
        <v>674</v>
      </c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5"/>
      <c r="P12" s="301"/>
      <c r="Q12" s="298" t="s">
        <v>674</v>
      </c>
      <c r="R12" s="299"/>
      <c r="S12" s="301"/>
    </row>
    <row r="13" spans="1:19" ht="42" customHeight="1">
      <c r="A13" s="313"/>
      <c r="B13" s="317"/>
      <c r="C13" s="322" t="s">
        <v>675</v>
      </c>
      <c r="D13" s="328" t="s">
        <v>676</v>
      </c>
      <c r="E13" s="329" t="s">
        <v>677</v>
      </c>
      <c r="F13" s="329" t="s">
        <v>677</v>
      </c>
      <c r="G13" s="331" t="s">
        <v>678</v>
      </c>
      <c r="H13" s="332"/>
      <c r="I13" s="303" t="s">
        <v>679</v>
      </c>
      <c r="J13" s="304"/>
      <c r="K13" s="304"/>
      <c r="L13" s="305" t="s">
        <v>680</v>
      </c>
      <c r="M13" s="307" t="s">
        <v>335</v>
      </c>
      <c r="N13" s="308"/>
      <c r="O13" s="298" t="s">
        <v>681</v>
      </c>
      <c r="P13" s="301"/>
      <c r="Q13" s="229" t="s">
        <v>335</v>
      </c>
      <c r="R13" s="338" t="s">
        <v>360</v>
      </c>
      <c r="S13" s="301"/>
    </row>
    <row r="14" spans="1:19" ht="102.75" customHeight="1">
      <c r="A14" s="313"/>
      <c r="B14" s="317"/>
      <c r="C14" s="326"/>
      <c r="D14" s="299"/>
      <c r="E14" s="330"/>
      <c r="F14" s="330"/>
      <c r="G14" s="333"/>
      <c r="H14" s="334"/>
      <c r="I14" s="299"/>
      <c r="J14" s="299"/>
      <c r="K14" s="299"/>
      <c r="L14" s="306"/>
      <c r="M14" s="322" t="s">
        <v>682</v>
      </c>
      <c r="N14" s="227" t="s">
        <v>337</v>
      </c>
      <c r="O14" s="298"/>
      <c r="P14" s="301"/>
      <c r="Q14" s="338" t="s">
        <v>683</v>
      </c>
      <c r="R14" s="339"/>
      <c r="S14" s="301"/>
    </row>
    <row r="15" spans="1:19" ht="43.5" customHeight="1">
      <c r="A15" s="313"/>
      <c r="B15" s="317"/>
      <c r="C15" s="326"/>
      <c r="D15" s="299"/>
      <c r="E15" s="304"/>
      <c r="F15" s="330"/>
      <c r="G15" s="341" t="s">
        <v>684</v>
      </c>
      <c r="H15" s="342"/>
      <c r="I15" s="322" t="s">
        <v>685</v>
      </c>
      <c r="J15" s="322" t="s">
        <v>686</v>
      </c>
      <c r="K15" s="322" t="s">
        <v>687</v>
      </c>
      <c r="L15" s="322" t="s">
        <v>688</v>
      </c>
      <c r="M15" s="306"/>
      <c r="N15" s="322" t="s">
        <v>689</v>
      </c>
      <c r="O15" s="298"/>
      <c r="P15" s="301"/>
      <c r="Q15" s="340"/>
      <c r="R15" s="339"/>
      <c r="S15" s="301"/>
    </row>
    <row r="16" spans="1:19" ht="207" customHeight="1">
      <c r="A16" s="313"/>
      <c r="B16" s="317"/>
      <c r="C16" s="327"/>
      <c r="D16" s="228" t="s">
        <v>690</v>
      </c>
      <c r="E16" s="228" t="s">
        <v>691</v>
      </c>
      <c r="F16" s="304"/>
      <c r="G16" s="227" t="s">
        <v>18</v>
      </c>
      <c r="H16" s="230" t="s">
        <v>20</v>
      </c>
      <c r="I16" s="304"/>
      <c r="J16" s="304"/>
      <c r="K16" s="304"/>
      <c r="L16" s="323"/>
      <c r="M16" s="323"/>
      <c r="N16" s="304"/>
      <c r="O16" s="227" t="s">
        <v>688</v>
      </c>
      <c r="P16" s="301"/>
      <c r="Q16" s="340"/>
      <c r="R16" s="339"/>
      <c r="S16" s="301"/>
    </row>
    <row r="17" spans="1:19" ht="21.75" customHeight="1">
      <c r="A17" s="314"/>
      <c r="B17" s="318"/>
      <c r="C17" s="228">
        <v>41040200</v>
      </c>
      <c r="D17" s="228">
        <v>41051000</v>
      </c>
      <c r="E17" s="335">
        <v>41051100</v>
      </c>
      <c r="F17" s="336"/>
      <c r="G17" s="335">
        <v>41051200</v>
      </c>
      <c r="H17" s="336"/>
      <c r="I17" s="335">
        <v>41051400</v>
      </c>
      <c r="J17" s="337"/>
      <c r="K17" s="231"/>
      <c r="L17" s="232">
        <v>41051500</v>
      </c>
      <c r="M17" s="232">
        <v>41053900</v>
      </c>
      <c r="N17" s="228">
        <v>41053900</v>
      </c>
      <c r="O17" s="227">
        <v>41055000</v>
      </c>
      <c r="P17" s="302"/>
      <c r="Q17" s="228">
        <v>9770</v>
      </c>
      <c r="R17" s="228">
        <v>9800</v>
      </c>
      <c r="S17" s="302"/>
    </row>
    <row r="18" spans="1:19" ht="12.75">
      <c r="A18" s="233">
        <v>1</v>
      </c>
      <c r="B18" s="234">
        <v>2</v>
      </c>
      <c r="C18" s="235">
        <v>3</v>
      </c>
      <c r="D18" s="236" t="s">
        <v>692</v>
      </c>
      <c r="E18" s="236" t="s">
        <v>693</v>
      </c>
      <c r="F18" s="236" t="s">
        <v>694</v>
      </c>
      <c r="G18" s="236" t="s">
        <v>695</v>
      </c>
      <c r="H18" s="236" t="s">
        <v>696</v>
      </c>
      <c r="I18" s="236" t="s">
        <v>697</v>
      </c>
      <c r="J18" s="235">
        <v>9</v>
      </c>
      <c r="K18" s="235">
        <v>10</v>
      </c>
      <c r="L18" s="235">
        <v>11</v>
      </c>
      <c r="M18" s="235">
        <v>12</v>
      </c>
      <c r="N18" s="235">
        <v>13</v>
      </c>
      <c r="O18" s="235">
        <v>14</v>
      </c>
      <c r="P18" s="235">
        <v>15</v>
      </c>
      <c r="Q18" s="235">
        <v>16</v>
      </c>
      <c r="R18" s="235">
        <v>17</v>
      </c>
      <c r="S18" s="235">
        <v>18</v>
      </c>
    </row>
    <row r="19" spans="1:19" ht="21" customHeight="1">
      <c r="A19" s="233"/>
      <c r="B19" s="237" t="s">
        <v>698</v>
      </c>
      <c r="C19" s="235"/>
      <c r="D19" s="236"/>
      <c r="E19" s="236"/>
      <c r="F19" s="236"/>
      <c r="G19" s="236"/>
      <c r="H19" s="236"/>
      <c r="I19" s="236"/>
      <c r="J19" s="236"/>
      <c r="K19" s="236"/>
      <c r="L19" s="235"/>
      <c r="M19" s="235"/>
      <c r="N19" s="235"/>
      <c r="O19" s="235"/>
      <c r="P19" s="235"/>
      <c r="Q19" s="235"/>
      <c r="R19" s="238">
        <v>1178150</v>
      </c>
      <c r="S19" s="238">
        <f>R19</f>
        <v>1178150</v>
      </c>
    </row>
    <row r="20" spans="1:19" ht="24" customHeight="1">
      <c r="A20" s="239">
        <v>21100000000</v>
      </c>
      <c r="B20" s="237" t="s">
        <v>699</v>
      </c>
      <c r="C20" s="238">
        <v>1256800</v>
      </c>
      <c r="D20" s="240">
        <v>844767</v>
      </c>
      <c r="E20" s="240">
        <v>243600</v>
      </c>
      <c r="F20" s="240"/>
      <c r="G20" s="240">
        <f>135900+113250</f>
        <v>249150</v>
      </c>
      <c r="H20" s="240">
        <f>144000+120000-44583</f>
        <v>219417</v>
      </c>
      <c r="I20" s="240">
        <f>1553059+2418</f>
        <v>1555477</v>
      </c>
      <c r="J20" s="240">
        <v>174825</v>
      </c>
      <c r="K20" s="240">
        <f>328856-328856</f>
        <v>0</v>
      </c>
      <c r="L20" s="240">
        <v>432000</v>
      </c>
      <c r="M20" s="240">
        <v>147000</v>
      </c>
      <c r="N20" s="240">
        <v>500000</v>
      </c>
      <c r="O20" s="240">
        <v>1402800</v>
      </c>
      <c r="P20" s="240">
        <f>SUM(C20:O20)</f>
        <v>7025836</v>
      </c>
      <c r="Q20" s="235"/>
      <c r="R20" s="235"/>
      <c r="S20" s="241"/>
    </row>
    <row r="21" spans="1:19" ht="38.25" customHeight="1">
      <c r="A21" s="242">
        <v>21203701000</v>
      </c>
      <c r="B21" s="243" t="s">
        <v>700</v>
      </c>
      <c r="C21" s="238"/>
      <c r="D21" s="240"/>
      <c r="E21" s="240"/>
      <c r="F21" s="240"/>
      <c r="G21" s="240"/>
      <c r="H21" s="244"/>
      <c r="I21" s="244"/>
      <c r="J21" s="244"/>
      <c r="K21" s="244"/>
      <c r="L21" s="244"/>
      <c r="M21" s="244"/>
      <c r="N21" s="244"/>
      <c r="O21" s="244"/>
      <c r="P21" s="244"/>
      <c r="Q21" s="238">
        <v>202048</v>
      </c>
      <c r="R21" s="238"/>
      <c r="S21" s="238">
        <f>Q21</f>
        <v>202048</v>
      </c>
    </row>
    <row r="22" spans="1:19" ht="53.25" customHeight="1">
      <c r="A22" s="245">
        <v>21301200000</v>
      </c>
      <c r="B22" s="246" t="s">
        <v>701</v>
      </c>
      <c r="C22" s="247"/>
      <c r="D22" s="248"/>
      <c r="E22" s="248"/>
      <c r="F22" s="248">
        <v>569344</v>
      </c>
      <c r="G22" s="248"/>
      <c r="H22" s="244"/>
      <c r="I22" s="244"/>
      <c r="J22" s="244"/>
      <c r="K22" s="244"/>
      <c r="L22" s="244"/>
      <c r="M22" s="244"/>
      <c r="N22" s="244"/>
      <c r="O22" s="244"/>
      <c r="P22" s="244">
        <f>SUM(C22:O22)</f>
        <v>569344</v>
      </c>
      <c r="Q22" s="249"/>
      <c r="R22" s="249"/>
      <c r="S22" s="249"/>
    </row>
    <row r="23" spans="1:19" ht="26.25" customHeight="1" thickBot="1">
      <c r="A23" s="250" t="s">
        <v>24</v>
      </c>
      <c r="B23" s="251" t="s">
        <v>23</v>
      </c>
      <c r="C23" s="252">
        <f>SUM(C20:C20)</f>
        <v>1256800</v>
      </c>
      <c r="D23" s="252">
        <f aca="true" t="shared" si="0" ref="D23:O23">D20</f>
        <v>844767</v>
      </c>
      <c r="E23" s="252">
        <f t="shared" si="0"/>
        <v>243600</v>
      </c>
      <c r="F23" s="252">
        <f>F22</f>
        <v>569344</v>
      </c>
      <c r="G23" s="252">
        <f t="shared" si="0"/>
        <v>249150</v>
      </c>
      <c r="H23" s="252">
        <f t="shared" si="0"/>
        <v>219417</v>
      </c>
      <c r="I23" s="252">
        <f t="shared" si="0"/>
        <v>1555477</v>
      </c>
      <c r="J23" s="252">
        <f t="shared" si="0"/>
        <v>174825</v>
      </c>
      <c r="K23" s="252">
        <f t="shared" si="0"/>
        <v>0</v>
      </c>
      <c r="L23" s="252">
        <f t="shared" si="0"/>
        <v>432000</v>
      </c>
      <c r="M23" s="252">
        <f t="shared" si="0"/>
        <v>147000</v>
      </c>
      <c r="N23" s="252">
        <f t="shared" si="0"/>
        <v>500000</v>
      </c>
      <c r="O23" s="252">
        <f t="shared" si="0"/>
        <v>1402800</v>
      </c>
      <c r="P23" s="252">
        <f>P20+P22</f>
        <v>7595180</v>
      </c>
      <c r="Q23" s="253">
        <f>Q20+Q21</f>
        <v>202048</v>
      </c>
      <c r="R23" s="253">
        <f>R19</f>
        <v>1178150</v>
      </c>
      <c r="S23" s="253">
        <f>Q23+R23</f>
        <v>1380198</v>
      </c>
    </row>
    <row r="24" spans="1:19" ht="18">
      <c r="A24" s="254"/>
      <c r="B24" s="255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199"/>
      <c r="R24" s="199"/>
      <c r="S24" s="257"/>
    </row>
    <row r="25" spans="1:19" ht="10.5" customHeight="1">
      <c r="A25" s="254"/>
      <c r="B25" s="255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199"/>
      <c r="R25" s="199"/>
      <c r="S25" s="257"/>
    </row>
    <row r="26" spans="1:19" ht="11.25" customHeight="1">
      <c r="A26" s="254"/>
      <c r="B26" s="255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199"/>
      <c r="R26" s="199"/>
      <c r="S26" s="257"/>
    </row>
    <row r="27" spans="4:19" ht="18">
      <c r="D27" s="31"/>
      <c r="E27" s="31"/>
      <c r="F27" s="31"/>
      <c r="G27" s="31"/>
      <c r="H27" s="31"/>
      <c r="I27" s="31"/>
      <c r="J27" s="31"/>
      <c r="K27" s="31"/>
      <c r="L27" s="31"/>
      <c r="M27" s="31"/>
      <c r="O27" s="30" t="s">
        <v>708</v>
      </c>
      <c r="P27" s="31"/>
      <c r="R27" s="30"/>
      <c r="S27" s="258" t="s">
        <v>706</v>
      </c>
    </row>
  </sheetData>
  <sheetProtection/>
  <mergeCells count="33">
    <mergeCell ref="O13:O15"/>
    <mergeCell ref="R13:R16"/>
    <mergeCell ref="M14:M16"/>
    <mergeCell ref="Q14:Q16"/>
    <mergeCell ref="G15:H15"/>
    <mergeCell ref="I15:I16"/>
    <mergeCell ref="J15:J16"/>
    <mergeCell ref="E13:E15"/>
    <mergeCell ref="F13:F16"/>
    <mergeCell ref="G13:H14"/>
    <mergeCell ref="E17:F17"/>
    <mergeCell ref="G17:H17"/>
    <mergeCell ref="I17:J17"/>
    <mergeCell ref="D6:N6"/>
    <mergeCell ref="A10:A17"/>
    <mergeCell ref="B10:B17"/>
    <mergeCell ref="C10:P10"/>
    <mergeCell ref="K15:K16"/>
    <mergeCell ref="L15:L16"/>
    <mergeCell ref="N15:N16"/>
    <mergeCell ref="D12:O12"/>
    <mergeCell ref="C13:C16"/>
    <mergeCell ref="D13:D15"/>
    <mergeCell ref="Q10:S10"/>
    <mergeCell ref="C11:C12"/>
    <mergeCell ref="D11:O11"/>
    <mergeCell ref="P11:P17"/>
    <mergeCell ref="Q11:R11"/>
    <mergeCell ref="S11:S17"/>
    <mergeCell ref="I13:K14"/>
    <mergeCell ref="L13:L14"/>
    <mergeCell ref="M13:N13"/>
    <mergeCell ref="Q12:R1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9"/>
  <sheetViews>
    <sheetView zoomScalePageLayoutView="0" workbookViewId="0" topLeftCell="F1">
      <selection activeCell="H4" sqref="H4"/>
    </sheetView>
  </sheetViews>
  <sheetFormatPr defaultColWidth="9.00390625" defaultRowHeight="12.75"/>
  <cols>
    <col min="1" max="1" width="15.50390625" style="0" customWidth="1"/>
    <col min="2" max="2" width="12.50390625" style="0" customWidth="1"/>
    <col min="3" max="3" width="14.375" style="0" customWidth="1"/>
    <col min="4" max="4" width="39.00390625" style="0" customWidth="1"/>
    <col min="5" max="5" width="74.125" style="0" customWidth="1"/>
    <col min="6" max="6" width="16.50390625" style="0" customWidth="1"/>
    <col min="7" max="7" width="14.125" style="0" customWidth="1"/>
    <col min="8" max="8" width="12.00390625" style="0" customWidth="1"/>
    <col min="9" max="9" width="15.125" style="0" customWidth="1"/>
    <col min="10" max="10" width="13.625" style="0" customWidth="1"/>
  </cols>
  <sheetData>
    <row r="1" spans="8:10" ht="18">
      <c r="H1" s="30" t="s">
        <v>567</v>
      </c>
      <c r="I1" s="30"/>
      <c r="J1" s="30"/>
    </row>
    <row r="2" spans="8:10" ht="18">
      <c r="H2" s="46" t="s">
        <v>703</v>
      </c>
      <c r="I2" s="46"/>
      <c r="J2" s="30"/>
    </row>
    <row r="3" spans="8:10" ht="18">
      <c r="H3" s="30" t="s">
        <v>704</v>
      </c>
      <c r="I3" s="30"/>
      <c r="J3" s="30"/>
    </row>
    <row r="4" spans="8:10" ht="18">
      <c r="H4" s="30" t="s">
        <v>710</v>
      </c>
      <c r="I4" s="30"/>
      <c r="J4" s="30"/>
    </row>
    <row r="6" spans="1:10" ht="12.75">
      <c r="A6" s="350" t="s">
        <v>498</v>
      </c>
      <c r="B6" s="350"/>
      <c r="C6" s="350"/>
      <c r="D6" s="350"/>
      <c r="E6" s="350"/>
      <c r="F6" s="350"/>
      <c r="G6" s="350"/>
      <c r="H6" s="350"/>
      <c r="I6" s="350"/>
      <c r="J6" s="350"/>
    </row>
    <row r="7" spans="1:10" ht="36.75" customHeight="1">
      <c r="A7" s="350"/>
      <c r="B7" s="350"/>
      <c r="C7" s="350"/>
      <c r="D7" s="350"/>
      <c r="E7" s="350"/>
      <c r="F7" s="350"/>
      <c r="G7" s="350"/>
      <c r="H7" s="350"/>
      <c r="I7" s="350"/>
      <c r="J7" s="350"/>
    </row>
    <row r="8" spans="1:10" ht="15.75" customHeight="1">
      <c r="A8" s="184" t="s">
        <v>0</v>
      </c>
      <c r="B8" s="151"/>
      <c r="C8" s="151"/>
      <c r="D8" s="151"/>
      <c r="E8" s="151"/>
      <c r="F8" s="151"/>
      <c r="G8" s="151"/>
      <c r="H8" s="151"/>
      <c r="I8" s="151"/>
      <c r="J8" s="151"/>
    </row>
    <row r="9" spans="1:10" ht="15.75" customHeight="1">
      <c r="A9" s="183" t="s">
        <v>25</v>
      </c>
      <c r="B9" s="151"/>
      <c r="C9" s="151"/>
      <c r="D9" s="151"/>
      <c r="E9" s="151"/>
      <c r="F9" s="151"/>
      <c r="G9" s="151"/>
      <c r="H9" s="151"/>
      <c r="I9" s="151"/>
      <c r="J9" s="151"/>
    </row>
    <row r="10" spans="1:10" ht="15" customHeight="1">
      <c r="A10" s="183"/>
      <c r="B10" s="4"/>
      <c r="C10" s="4"/>
      <c r="D10" s="4"/>
      <c r="E10" s="4"/>
      <c r="F10" s="4"/>
      <c r="G10" s="4"/>
      <c r="H10" s="4"/>
      <c r="I10" s="4"/>
      <c r="J10" s="4"/>
    </row>
    <row r="11" spans="1:10" ht="27.75" customHeight="1">
      <c r="A11" s="343" t="s">
        <v>27</v>
      </c>
      <c r="B11" s="343" t="s">
        <v>28</v>
      </c>
      <c r="C11" s="343" t="s">
        <v>16</v>
      </c>
      <c r="D11" s="343" t="s">
        <v>499</v>
      </c>
      <c r="E11" s="343" t="s">
        <v>500</v>
      </c>
      <c r="F11" s="343" t="s">
        <v>501</v>
      </c>
      <c r="G11" s="343" t="s">
        <v>502</v>
      </c>
      <c r="H11" s="343" t="s">
        <v>503</v>
      </c>
      <c r="I11" s="343" t="s">
        <v>504</v>
      </c>
      <c r="J11" s="343" t="s">
        <v>505</v>
      </c>
    </row>
    <row r="12" spans="1:10" ht="27.75" customHeight="1">
      <c r="A12" s="343"/>
      <c r="B12" s="343"/>
      <c r="C12" s="343"/>
      <c r="D12" s="343"/>
      <c r="E12" s="343"/>
      <c r="F12" s="343"/>
      <c r="G12" s="343"/>
      <c r="H12" s="343"/>
      <c r="I12" s="343"/>
      <c r="J12" s="343"/>
    </row>
    <row r="13" spans="1:10" ht="27.75" customHeight="1">
      <c r="A13" s="343"/>
      <c r="B13" s="343"/>
      <c r="C13" s="343"/>
      <c r="D13" s="343"/>
      <c r="E13" s="343"/>
      <c r="F13" s="343"/>
      <c r="G13" s="343"/>
      <c r="H13" s="343"/>
      <c r="I13" s="343"/>
      <c r="J13" s="343"/>
    </row>
    <row r="14" spans="1:10" ht="27.75" customHeight="1">
      <c r="A14" s="343"/>
      <c r="B14" s="343"/>
      <c r="C14" s="343"/>
      <c r="D14" s="343"/>
      <c r="E14" s="343"/>
      <c r="F14" s="343"/>
      <c r="G14" s="343"/>
      <c r="H14" s="343"/>
      <c r="I14" s="343"/>
      <c r="J14" s="343"/>
    </row>
    <row r="15" spans="1:10" ht="10.5" customHeight="1">
      <c r="A15" s="343"/>
      <c r="B15" s="343"/>
      <c r="C15" s="343"/>
      <c r="D15" s="343"/>
      <c r="E15" s="343"/>
      <c r="F15" s="343"/>
      <c r="G15" s="343"/>
      <c r="H15" s="343"/>
      <c r="I15" s="343"/>
      <c r="J15" s="343"/>
    </row>
    <row r="16" spans="1:10" ht="13.5">
      <c r="A16" s="152">
        <v>1</v>
      </c>
      <c r="B16" s="152">
        <v>2</v>
      </c>
      <c r="C16" s="152">
        <v>3</v>
      </c>
      <c r="D16" s="152">
        <v>4</v>
      </c>
      <c r="E16" s="152">
        <v>5</v>
      </c>
      <c r="F16" s="152">
        <v>6</v>
      </c>
      <c r="G16" s="152">
        <v>7</v>
      </c>
      <c r="H16" s="152">
        <v>8</v>
      </c>
      <c r="I16" s="152">
        <v>9</v>
      </c>
      <c r="J16" s="152">
        <v>10</v>
      </c>
    </row>
    <row r="17" spans="1:10" ht="45.75" customHeight="1">
      <c r="A17" s="153" t="s">
        <v>30</v>
      </c>
      <c r="B17" s="153"/>
      <c r="C17" s="153"/>
      <c r="D17" s="154" t="s">
        <v>31</v>
      </c>
      <c r="E17" s="155"/>
      <c r="F17" s="155"/>
      <c r="G17" s="155"/>
      <c r="H17" s="155"/>
      <c r="I17" s="156">
        <f>I18</f>
        <v>2050139</v>
      </c>
      <c r="J17" s="155"/>
    </row>
    <row r="18" spans="1:10" ht="45" customHeight="1">
      <c r="A18" s="153" t="s">
        <v>32</v>
      </c>
      <c r="B18" s="153"/>
      <c r="C18" s="153"/>
      <c r="D18" s="154" t="s">
        <v>31</v>
      </c>
      <c r="E18" s="155"/>
      <c r="F18" s="155"/>
      <c r="G18" s="155"/>
      <c r="H18" s="155"/>
      <c r="I18" s="156">
        <f>SUM(I19:I27)</f>
        <v>2050139</v>
      </c>
      <c r="J18" s="155"/>
    </row>
    <row r="19" spans="1:10" ht="60" customHeight="1">
      <c r="A19" s="157" t="s">
        <v>384</v>
      </c>
      <c r="B19" s="157" t="s">
        <v>385</v>
      </c>
      <c r="C19" s="148" t="s">
        <v>99</v>
      </c>
      <c r="D19" s="149" t="s">
        <v>386</v>
      </c>
      <c r="E19" s="158" t="s">
        <v>506</v>
      </c>
      <c r="F19" s="155">
        <v>2020</v>
      </c>
      <c r="G19" s="155">
        <v>200000</v>
      </c>
      <c r="H19" s="155"/>
      <c r="I19" s="155">
        <v>200000</v>
      </c>
      <c r="J19" s="159">
        <v>100</v>
      </c>
    </row>
    <row r="20" spans="1:10" ht="66" customHeight="1">
      <c r="A20" s="345" t="s">
        <v>338</v>
      </c>
      <c r="B20" s="345" t="s">
        <v>258</v>
      </c>
      <c r="C20" s="345" t="s">
        <v>99</v>
      </c>
      <c r="D20" s="347" t="s">
        <v>507</v>
      </c>
      <c r="E20" s="158" t="s">
        <v>508</v>
      </c>
      <c r="F20" s="161">
        <v>2020</v>
      </c>
      <c r="G20" s="162">
        <v>57727</v>
      </c>
      <c r="H20" s="155"/>
      <c r="I20" s="155">
        <v>57727</v>
      </c>
      <c r="J20" s="159">
        <v>100</v>
      </c>
    </row>
    <row r="21" spans="1:10" ht="36" customHeight="1">
      <c r="A21" s="346"/>
      <c r="B21" s="346"/>
      <c r="C21" s="346"/>
      <c r="D21" s="348"/>
      <c r="E21" s="158" t="s">
        <v>509</v>
      </c>
      <c r="F21" s="161">
        <v>2020</v>
      </c>
      <c r="G21" s="162">
        <v>53021</v>
      </c>
      <c r="H21" s="155"/>
      <c r="I21" s="155">
        <v>53021</v>
      </c>
      <c r="J21" s="159">
        <v>100</v>
      </c>
    </row>
    <row r="22" spans="1:10" ht="68.25" customHeight="1">
      <c r="A22" s="346"/>
      <c r="B22" s="346"/>
      <c r="C22" s="346"/>
      <c r="D22" s="348"/>
      <c r="E22" s="158" t="s">
        <v>510</v>
      </c>
      <c r="F22" s="161">
        <v>2020</v>
      </c>
      <c r="G22" s="162">
        <f>60000+26000</f>
        <v>86000</v>
      </c>
      <c r="H22" s="155"/>
      <c r="I22" s="155">
        <f>60000+26000</f>
        <v>86000</v>
      </c>
      <c r="J22" s="159">
        <v>100</v>
      </c>
    </row>
    <row r="23" spans="1:10" ht="51" customHeight="1">
      <c r="A23" s="346"/>
      <c r="B23" s="346"/>
      <c r="C23" s="346"/>
      <c r="D23" s="348"/>
      <c r="E23" s="158" t="s">
        <v>511</v>
      </c>
      <c r="F23" s="161">
        <v>2020</v>
      </c>
      <c r="G23" s="162">
        <v>300000</v>
      </c>
      <c r="H23" s="155"/>
      <c r="I23" s="155">
        <v>300000</v>
      </c>
      <c r="J23" s="159">
        <v>100</v>
      </c>
    </row>
    <row r="24" spans="1:10" ht="49.5" customHeight="1">
      <c r="A24" s="304"/>
      <c r="B24" s="349"/>
      <c r="C24" s="304"/>
      <c r="D24" s="327"/>
      <c r="E24" s="163" t="s">
        <v>512</v>
      </c>
      <c r="F24" s="161" t="s">
        <v>513</v>
      </c>
      <c r="G24" s="162">
        <v>1343074</v>
      </c>
      <c r="H24" s="155">
        <v>73.4</v>
      </c>
      <c r="I24" s="155">
        <v>236684</v>
      </c>
      <c r="J24" s="159">
        <v>91</v>
      </c>
    </row>
    <row r="25" spans="1:10" ht="72" customHeight="1" hidden="1">
      <c r="A25" s="344" t="s">
        <v>315</v>
      </c>
      <c r="B25" s="344" t="s">
        <v>313</v>
      </c>
      <c r="C25" s="344" t="s">
        <v>100</v>
      </c>
      <c r="D25" s="356" t="s">
        <v>314</v>
      </c>
      <c r="E25" s="158" t="s">
        <v>514</v>
      </c>
      <c r="F25" s="155">
        <v>2020</v>
      </c>
      <c r="G25" s="164">
        <v>12247008</v>
      </c>
      <c r="H25" s="155"/>
      <c r="I25" s="155">
        <f>1204337-1204337</f>
        <v>0</v>
      </c>
      <c r="J25" s="159">
        <v>9.8</v>
      </c>
    </row>
    <row r="26" spans="1:10" ht="74.25" customHeight="1" hidden="1">
      <c r="A26" s="344"/>
      <c r="B26" s="344"/>
      <c r="C26" s="344"/>
      <c r="D26" s="356"/>
      <c r="E26" s="158" t="s">
        <v>515</v>
      </c>
      <c r="F26" s="155" t="s">
        <v>516</v>
      </c>
      <c r="G26" s="155">
        <v>6228838</v>
      </c>
      <c r="H26" s="155">
        <v>1.1</v>
      </c>
      <c r="I26" s="155">
        <f>200000-200000</f>
        <v>0</v>
      </c>
      <c r="J26" s="159">
        <v>4.3</v>
      </c>
    </row>
    <row r="27" spans="1:11" ht="96" customHeight="1">
      <c r="A27" s="325"/>
      <c r="B27" s="325"/>
      <c r="C27" s="325"/>
      <c r="D27" s="339"/>
      <c r="E27" s="163" t="s">
        <v>517</v>
      </c>
      <c r="F27" s="161" t="s">
        <v>518</v>
      </c>
      <c r="G27" s="165">
        <v>20691542</v>
      </c>
      <c r="H27" s="166">
        <v>6.7</v>
      </c>
      <c r="I27" s="162">
        <f>1306707-190000</f>
        <v>1116707</v>
      </c>
      <c r="J27" s="159">
        <v>12.1</v>
      </c>
      <c r="K27" s="167"/>
    </row>
    <row r="28" spans="1:10" ht="65.25" customHeight="1" hidden="1">
      <c r="A28" s="153" t="s">
        <v>126</v>
      </c>
      <c r="B28" s="153"/>
      <c r="C28" s="153"/>
      <c r="D28" s="154" t="s">
        <v>127</v>
      </c>
      <c r="E28" s="155"/>
      <c r="F28" s="155"/>
      <c r="G28" s="155"/>
      <c r="H28" s="155"/>
      <c r="I28" s="156">
        <f>I29</f>
        <v>0</v>
      </c>
      <c r="J28" s="155"/>
    </row>
    <row r="29" spans="1:10" ht="80.25" customHeight="1" hidden="1">
      <c r="A29" s="153" t="s">
        <v>128</v>
      </c>
      <c r="B29" s="153"/>
      <c r="C29" s="153"/>
      <c r="D29" s="154" t="s">
        <v>127</v>
      </c>
      <c r="E29" s="155"/>
      <c r="F29" s="155"/>
      <c r="G29" s="155"/>
      <c r="H29" s="155"/>
      <c r="I29" s="156">
        <f>SUM(I30:I31)</f>
        <v>0</v>
      </c>
      <c r="J29" s="155"/>
    </row>
    <row r="30" spans="1:10" ht="61.5" customHeight="1" hidden="1">
      <c r="A30" s="157" t="s">
        <v>345</v>
      </c>
      <c r="B30" s="157" t="s">
        <v>346</v>
      </c>
      <c r="C30" s="157" t="s">
        <v>99</v>
      </c>
      <c r="D30" s="160" t="s">
        <v>347</v>
      </c>
      <c r="E30" s="158" t="s">
        <v>519</v>
      </c>
      <c r="F30" s="155">
        <v>2020</v>
      </c>
      <c r="G30" s="155">
        <v>46683</v>
      </c>
      <c r="H30" s="155"/>
      <c r="I30" s="155">
        <f>46683-46683</f>
        <v>0</v>
      </c>
      <c r="J30" s="159">
        <v>100</v>
      </c>
    </row>
    <row r="31" spans="1:10" ht="79.5" customHeight="1" hidden="1">
      <c r="A31" s="148" t="s">
        <v>312</v>
      </c>
      <c r="B31" s="148" t="s">
        <v>313</v>
      </c>
      <c r="C31" s="148" t="s">
        <v>100</v>
      </c>
      <c r="D31" s="149" t="s">
        <v>314</v>
      </c>
      <c r="E31" s="158" t="s">
        <v>520</v>
      </c>
      <c r="F31" s="155" t="s">
        <v>518</v>
      </c>
      <c r="G31" s="155">
        <v>6093630</v>
      </c>
      <c r="H31" s="155">
        <v>1.9</v>
      </c>
      <c r="I31" s="155">
        <f>597771-597771</f>
        <v>0</v>
      </c>
      <c r="J31" s="159">
        <v>11.7</v>
      </c>
    </row>
    <row r="32" spans="1:10" ht="102.75" customHeight="1">
      <c r="A32" s="153" t="s">
        <v>163</v>
      </c>
      <c r="B32" s="153"/>
      <c r="C32" s="153"/>
      <c r="D32" s="154" t="s">
        <v>164</v>
      </c>
      <c r="E32" s="158"/>
      <c r="F32" s="155"/>
      <c r="G32" s="155"/>
      <c r="H32" s="155"/>
      <c r="I32" s="156">
        <f>I33</f>
        <v>51460</v>
      </c>
      <c r="J32" s="159"/>
    </row>
    <row r="33" spans="1:10" ht="101.25" customHeight="1">
      <c r="A33" s="153" t="s">
        <v>165</v>
      </c>
      <c r="B33" s="153"/>
      <c r="C33" s="153"/>
      <c r="D33" s="154" t="s">
        <v>164</v>
      </c>
      <c r="E33" s="158"/>
      <c r="F33" s="155"/>
      <c r="G33" s="155"/>
      <c r="H33" s="155"/>
      <c r="I33" s="156">
        <f>SUM(I34:I35)</f>
        <v>51460</v>
      </c>
      <c r="J33" s="159"/>
    </row>
    <row r="34" spans="1:10" ht="60" customHeight="1">
      <c r="A34" s="345" t="s">
        <v>390</v>
      </c>
      <c r="B34" s="345" t="s">
        <v>258</v>
      </c>
      <c r="C34" s="345" t="s">
        <v>99</v>
      </c>
      <c r="D34" s="347" t="s">
        <v>339</v>
      </c>
      <c r="E34" s="158" t="s">
        <v>521</v>
      </c>
      <c r="F34" s="155">
        <v>2020</v>
      </c>
      <c r="G34" s="155">
        <v>27208</v>
      </c>
      <c r="H34" s="155"/>
      <c r="I34" s="155">
        <v>27208</v>
      </c>
      <c r="J34" s="159">
        <v>100</v>
      </c>
    </row>
    <row r="35" spans="1:10" ht="57.75" customHeight="1">
      <c r="A35" s="304"/>
      <c r="B35" s="304"/>
      <c r="C35" s="304"/>
      <c r="D35" s="327"/>
      <c r="E35" s="158" t="s">
        <v>522</v>
      </c>
      <c r="F35" s="155">
        <v>2020</v>
      </c>
      <c r="G35" s="155">
        <v>24252</v>
      </c>
      <c r="H35" s="155"/>
      <c r="I35" s="155">
        <v>24252</v>
      </c>
      <c r="J35" s="159">
        <v>100</v>
      </c>
    </row>
    <row r="36" spans="1:10" ht="71.25" customHeight="1">
      <c r="A36" s="168" t="s">
        <v>179</v>
      </c>
      <c r="B36" s="168"/>
      <c r="C36" s="168"/>
      <c r="D36" s="169" t="s">
        <v>180</v>
      </c>
      <c r="E36" s="158"/>
      <c r="F36" s="155"/>
      <c r="G36" s="155"/>
      <c r="H36" s="155"/>
      <c r="I36" s="156">
        <f>I37</f>
        <v>1813643</v>
      </c>
      <c r="J36" s="159"/>
    </row>
    <row r="37" spans="1:10" ht="71.25" customHeight="1">
      <c r="A37" s="168" t="s">
        <v>181</v>
      </c>
      <c r="B37" s="168"/>
      <c r="C37" s="168"/>
      <c r="D37" s="169" t="s">
        <v>180</v>
      </c>
      <c r="E37" s="158"/>
      <c r="F37" s="155"/>
      <c r="G37" s="155"/>
      <c r="H37" s="155"/>
      <c r="I37" s="156">
        <f>SUM(I38:I39)</f>
        <v>1813643</v>
      </c>
      <c r="J37" s="159"/>
    </row>
    <row r="38" spans="1:10" ht="83.25" customHeight="1">
      <c r="A38" s="148" t="s">
        <v>371</v>
      </c>
      <c r="B38" s="148" t="s">
        <v>372</v>
      </c>
      <c r="C38" s="170" t="s">
        <v>99</v>
      </c>
      <c r="D38" s="149" t="s">
        <v>373</v>
      </c>
      <c r="E38" s="158" t="s">
        <v>523</v>
      </c>
      <c r="F38" s="155">
        <v>2020</v>
      </c>
      <c r="G38" s="155">
        <v>1946994</v>
      </c>
      <c r="H38" s="155"/>
      <c r="I38" s="155">
        <f>600000+1013643</f>
        <v>1613643</v>
      </c>
      <c r="J38" s="159">
        <f>I38/G38*100</f>
        <v>82.87868375557397</v>
      </c>
    </row>
    <row r="39" spans="1:10" ht="72" customHeight="1">
      <c r="A39" s="157" t="s">
        <v>374</v>
      </c>
      <c r="B39" s="157" t="s">
        <v>375</v>
      </c>
      <c r="C39" s="171" t="s">
        <v>99</v>
      </c>
      <c r="D39" s="160" t="s">
        <v>376</v>
      </c>
      <c r="E39" s="158" t="s">
        <v>524</v>
      </c>
      <c r="F39" s="155">
        <v>2020</v>
      </c>
      <c r="G39" s="155">
        <v>200000</v>
      </c>
      <c r="H39" s="155"/>
      <c r="I39" s="155">
        <v>200000</v>
      </c>
      <c r="J39" s="159">
        <v>100</v>
      </c>
    </row>
    <row r="40" spans="1:10" ht="86.25" customHeight="1">
      <c r="A40" s="153" t="s">
        <v>231</v>
      </c>
      <c r="B40" s="153"/>
      <c r="C40" s="153"/>
      <c r="D40" s="172" t="s">
        <v>232</v>
      </c>
      <c r="E40" s="158"/>
      <c r="F40" s="155"/>
      <c r="G40" s="155"/>
      <c r="H40" s="155"/>
      <c r="I40" s="156">
        <f>I41</f>
        <v>2243694</v>
      </c>
      <c r="J40" s="159"/>
    </row>
    <row r="41" spans="1:10" ht="92.25" customHeight="1">
      <c r="A41" s="153" t="s">
        <v>233</v>
      </c>
      <c r="B41" s="153"/>
      <c r="C41" s="153"/>
      <c r="D41" s="172" t="s">
        <v>232</v>
      </c>
      <c r="E41" s="158"/>
      <c r="F41" s="155"/>
      <c r="G41" s="155"/>
      <c r="H41" s="155"/>
      <c r="I41" s="156">
        <f>SUM(I42:I43)</f>
        <v>2243694</v>
      </c>
      <c r="J41" s="159"/>
    </row>
    <row r="42" spans="1:10" ht="102" customHeight="1">
      <c r="A42" s="157" t="s">
        <v>394</v>
      </c>
      <c r="B42" s="157" t="s">
        <v>349</v>
      </c>
      <c r="C42" s="157" t="s">
        <v>99</v>
      </c>
      <c r="D42" s="160" t="s">
        <v>350</v>
      </c>
      <c r="E42" s="158" t="s">
        <v>525</v>
      </c>
      <c r="F42" s="155" t="s">
        <v>526</v>
      </c>
      <c r="G42" s="155">
        <v>2866645</v>
      </c>
      <c r="H42" s="155">
        <v>99.2</v>
      </c>
      <c r="I42" s="155">
        <v>22860</v>
      </c>
      <c r="J42" s="159">
        <v>100</v>
      </c>
    </row>
    <row r="43" spans="1:10" ht="95.25" customHeight="1">
      <c r="A43" s="157" t="s">
        <v>393</v>
      </c>
      <c r="B43" s="157" t="s">
        <v>313</v>
      </c>
      <c r="C43" s="157" t="s">
        <v>100</v>
      </c>
      <c r="D43" s="160" t="s">
        <v>314</v>
      </c>
      <c r="E43" s="158" t="s">
        <v>527</v>
      </c>
      <c r="F43" s="155" t="s">
        <v>528</v>
      </c>
      <c r="G43" s="155">
        <v>434764188</v>
      </c>
      <c r="H43" s="155"/>
      <c r="I43" s="155">
        <f>6666667-2000000-1000000-1445833</f>
        <v>2220834</v>
      </c>
      <c r="J43" s="159">
        <f>I43/G43*100</f>
        <v>0.5108134619404301</v>
      </c>
    </row>
    <row r="44" spans="1:10" ht="96.75" customHeight="1">
      <c r="A44" s="153" t="s">
        <v>250</v>
      </c>
      <c r="B44" s="148"/>
      <c r="C44" s="148"/>
      <c r="D44" s="154" t="s">
        <v>251</v>
      </c>
      <c r="E44" s="173"/>
      <c r="F44" s="174"/>
      <c r="G44" s="174"/>
      <c r="H44" s="174"/>
      <c r="I44" s="156">
        <f>I45</f>
        <v>1417623</v>
      </c>
      <c r="J44" s="174"/>
    </row>
    <row r="45" spans="1:10" ht="96" customHeight="1">
      <c r="A45" s="153" t="s">
        <v>252</v>
      </c>
      <c r="B45" s="148"/>
      <c r="C45" s="148"/>
      <c r="D45" s="154" t="s">
        <v>251</v>
      </c>
      <c r="E45" s="173"/>
      <c r="F45" s="174"/>
      <c r="G45" s="174"/>
      <c r="H45" s="174"/>
      <c r="I45" s="156">
        <f>SUM(I46:I61)</f>
        <v>1417623</v>
      </c>
      <c r="J45" s="174"/>
    </row>
    <row r="46" spans="1:10" ht="51.75" customHeight="1">
      <c r="A46" s="345" t="s">
        <v>302</v>
      </c>
      <c r="B46" s="345" t="s">
        <v>303</v>
      </c>
      <c r="C46" s="345" t="s">
        <v>99</v>
      </c>
      <c r="D46" s="347" t="s">
        <v>304</v>
      </c>
      <c r="E46" s="175" t="s">
        <v>529</v>
      </c>
      <c r="F46" s="176">
        <v>2020</v>
      </c>
      <c r="G46" s="177">
        <v>5414</v>
      </c>
      <c r="H46" s="178"/>
      <c r="I46" s="177">
        <v>5414</v>
      </c>
      <c r="J46" s="178">
        <v>100</v>
      </c>
    </row>
    <row r="47" spans="1:10" ht="52.5" customHeight="1">
      <c r="A47" s="330"/>
      <c r="B47" s="330"/>
      <c r="C47" s="330"/>
      <c r="D47" s="326"/>
      <c r="E47" s="175" t="s">
        <v>530</v>
      </c>
      <c r="F47" s="176">
        <v>2020</v>
      </c>
      <c r="G47" s="177">
        <v>5362</v>
      </c>
      <c r="H47" s="178"/>
      <c r="I47" s="177">
        <v>5362</v>
      </c>
      <c r="J47" s="178">
        <v>100</v>
      </c>
    </row>
    <row r="48" spans="1:10" ht="43.5" customHeight="1">
      <c r="A48" s="330"/>
      <c r="B48" s="330"/>
      <c r="C48" s="330"/>
      <c r="D48" s="326"/>
      <c r="E48" s="179" t="s">
        <v>531</v>
      </c>
      <c r="F48" s="176">
        <v>2020</v>
      </c>
      <c r="G48" s="177">
        <v>10194</v>
      </c>
      <c r="H48" s="178"/>
      <c r="I48" s="177">
        <v>10194</v>
      </c>
      <c r="J48" s="178">
        <v>100</v>
      </c>
    </row>
    <row r="49" spans="1:10" ht="48" customHeight="1">
      <c r="A49" s="330"/>
      <c r="B49" s="330"/>
      <c r="C49" s="330"/>
      <c r="D49" s="326"/>
      <c r="E49" s="179" t="s">
        <v>532</v>
      </c>
      <c r="F49" s="176">
        <v>2020</v>
      </c>
      <c r="G49" s="177">
        <v>20920</v>
      </c>
      <c r="H49" s="178"/>
      <c r="I49" s="177">
        <v>20920</v>
      </c>
      <c r="J49" s="178">
        <v>100</v>
      </c>
    </row>
    <row r="50" spans="1:10" ht="48" customHeight="1">
      <c r="A50" s="330"/>
      <c r="B50" s="330"/>
      <c r="C50" s="330"/>
      <c r="D50" s="326"/>
      <c r="E50" s="179" t="s">
        <v>533</v>
      </c>
      <c r="F50" s="176" t="s">
        <v>513</v>
      </c>
      <c r="G50" s="177">
        <v>533388</v>
      </c>
      <c r="H50" s="178">
        <v>54.1</v>
      </c>
      <c r="I50" s="180">
        <f>533388-299792-47980</f>
        <v>185616</v>
      </c>
      <c r="J50" s="178">
        <v>100</v>
      </c>
    </row>
    <row r="51" spans="1:10" ht="33.75" customHeight="1">
      <c r="A51" s="330"/>
      <c r="B51" s="330"/>
      <c r="C51" s="330"/>
      <c r="D51" s="326"/>
      <c r="E51" s="179" t="s">
        <v>534</v>
      </c>
      <c r="F51" s="176" t="s">
        <v>513</v>
      </c>
      <c r="G51" s="177">
        <v>533388</v>
      </c>
      <c r="H51" s="178">
        <v>79.9</v>
      </c>
      <c r="I51" s="180">
        <v>47980</v>
      </c>
      <c r="J51" s="178">
        <v>100</v>
      </c>
    </row>
    <row r="52" spans="1:10" ht="48" customHeight="1">
      <c r="A52" s="304"/>
      <c r="B52" s="304"/>
      <c r="C52" s="304"/>
      <c r="D52" s="327"/>
      <c r="E52" s="179" t="s">
        <v>535</v>
      </c>
      <c r="F52" s="176">
        <v>2020</v>
      </c>
      <c r="G52" s="177">
        <v>372400</v>
      </c>
      <c r="H52" s="178"/>
      <c r="I52" s="180">
        <v>50000</v>
      </c>
      <c r="J52" s="178">
        <f>I52/G52*100</f>
        <v>13.426423200859292</v>
      </c>
    </row>
    <row r="53" spans="1:10" ht="79.5" customHeight="1">
      <c r="A53" s="351" t="s">
        <v>257</v>
      </c>
      <c r="B53" s="351" t="s">
        <v>258</v>
      </c>
      <c r="C53" s="351" t="s">
        <v>99</v>
      </c>
      <c r="D53" s="347" t="s">
        <v>259</v>
      </c>
      <c r="E53" s="179" t="s">
        <v>536</v>
      </c>
      <c r="F53" s="176">
        <v>2020</v>
      </c>
      <c r="G53" s="177">
        <v>377344</v>
      </c>
      <c r="H53" s="178"/>
      <c r="I53" s="177">
        <v>377344</v>
      </c>
      <c r="J53" s="178">
        <v>100</v>
      </c>
    </row>
    <row r="54" spans="1:10" ht="42" customHeight="1">
      <c r="A54" s="352"/>
      <c r="B54" s="352"/>
      <c r="C54" s="352"/>
      <c r="D54" s="348"/>
      <c r="E54" s="179" t="s">
        <v>537</v>
      </c>
      <c r="F54" s="176">
        <v>2020</v>
      </c>
      <c r="G54" s="177">
        <v>82969</v>
      </c>
      <c r="H54" s="178"/>
      <c r="I54" s="177">
        <v>82969</v>
      </c>
      <c r="J54" s="178">
        <v>100</v>
      </c>
    </row>
    <row r="55" spans="1:10" ht="54" customHeight="1">
      <c r="A55" s="352"/>
      <c r="B55" s="352"/>
      <c r="C55" s="352"/>
      <c r="D55" s="348"/>
      <c r="E55" s="179" t="s">
        <v>538</v>
      </c>
      <c r="F55" s="176">
        <v>2020</v>
      </c>
      <c r="G55" s="177">
        <v>50723</v>
      </c>
      <c r="H55" s="178"/>
      <c r="I55" s="177">
        <v>50723</v>
      </c>
      <c r="J55" s="178">
        <v>100</v>
      </c>
    </row>
    <row r="56" spans="1:10" ht="48.75" customHeight="1">
      <c r="A56" s="353"/>
      <c r="B56" s="353"/>
      <c r="C56" s="353"/>
      <c r="D56" s="355"/>
      <c r="E56" s="179" t="s">
        <v>539</v>
      </c>
      <c r="F56" s="176">
        <v>2020</v>
      </c>
      <c r="G56" s="177">
        <v>92758</v>
      </c>
      <c r="H56" s="178"/>
      <c r="I56" s="177">
        <v>92758</v>
      </c>
      <c r="J56" s="178">
        <v>100</v>
      </c>
    </row>
    <row r="57" spans="1:10" ht="51" customHeight="1">
      <c r="A57" s="353"/>
      <c r="B57" s="353"/>
      <c r="C57" s="353"/>
      <c r="D57" s="355"/>
      <c r="E57" s="179" t="s">
        <v>540</v>
      </c>
      <c r="F57" s="176">
        <v>2020</v>
      </c>
      <c r="G57" s="177">
        <v>83846</v>
      </c>
      <c r="H57" s="178"/>
      <c r="I57" s="177">
        <v>83846</v>
      </c>
      <c r="J57" s="178">
        <v>100</v>
      </c>
    </row>
    <row r="58" spans="1:10" ht="52.5" customHeight="1">
      <c r="A58" s="353"/>
      <c r="B58" s="353"/>
      <c r="C58" s="353"/>
      <c r="D58" s="355"/>
      <c r="E58" s="179" t="s">
        <v>541</v>
      </c>
      <c r="F58" s="176">
        <v>2020</v>
      </c>
      <c r="G58" s="177">
        <v>59562</v>
      </c>
      <c r="H58" s="178"/>
      <c r="I58" s="177">
        <v>59562</v>
      </c>
      <c r="J58" s="178">
        <v>100</v>
      </c>
    </row>
    <row r="59" spans="1:10" ht="50.25" customHeight="1">
      <c r="A59" s="353"/>
      <c r="B59" s="353"/>
      <c r="C59" s="353"/>
      <c r="D59" s="355"/>
      <c r="E59" s="179" t="s">
        <v>542</v>
      </c>
      <c r="F59" s="176">
        <v>2020</v>
      </c>
      <c r="G59" s="177">
        <v>101117</v>
      </c>
      <c r="H59" s="178"/>
      <c r="I59" s="177">
        <v>101117</v>
      </c>
      <c r="J59" s="178">
        <v>100</v>
      </c>
    </row>
    <row r="60" spans="1:10" ht="42" customHeight="1">
      <c r="A60" s="353"/>
      <c r="B60" s="353"/>
      <c r="C60" s="353"/>
      <c r="D60" s="355"/>
      <c r="E60" s="175" t="s">
        <v>543</v>
      </c>
      <c r="F60" s="176">
        <v>2020</v>
      </c>
      <c r="G60" s="177">
        <v>196893</v>
      </c>
      <c r="H60" s="178"/>
      <c r="I60" s="177">
        <v>196893</v>
      </c>
      <c r="J60" s="178">
        <v>100</v>
      </c>
    </row>
    <row r="61" spans="1:10" ht="48" customHeight="1">
      <c r="A61" s="354"/>
      <c r="B61" s="354"/>
      <c r="C61" s="354"/>
      <c r="D61" s="318"/>
      <c r="E61" s="179" t="s">
        <v>544</v>
      </c>
      <c r="F61" s="176">
        <v>2020</v>
      </c>
      <c r="G61" s="177">
        <v>46925</v>
      </c>
      <c r="H61" s="178"/>
      <c r="I61" s="177">
        <v>46925</v>
      </c>
      <c r="J61" s="178">
        <v>100</v>
      </c>
    </row>
    <row r="62" spans="1:10" ht="17.25">
      <c r="A62" s="181" t="s">
        <v>401</v>
      </c>
      <c r="B62" s="181" t="s">
        <v>401</v>
      </c>
      <c r="C62" s="181" t="s">
        <v>401</v>
      </c>
      <c r="D62" s="181" t="s">
        <v>23</v>
      </c>
      <c r="E62" s="181" t="s">
        <v>401</v>
      </c>
      <c r="F62" s="181" t="s">
        <v>401</v>
      </c>
      <c r="G62" s="181" t="s">
        <v>401</v>
      </c>
      <c r="H62" s="181"/>
      <c r="I62" s="181">
        <f>I17+I28+I36+I40+I44+I32</f>
        <v>7576559</v>
      </c>
      <c r="J62" s="181" t="s">
        <v>401</v>
      </c>
    </row>
    <row r="66" spans="2:10" ht="18">
      <c r="B66" s="30" t="s">
        <v>336</v>
      </c>
      <c r="C66" s="30"/>
      <c r="D66" s="30" t="s">
        <v>705</v>
      </c>
      <c r="E66" s="31"/>
      <c r="F66" s="31"/>
      <c r="G66" s="31"/>
      <c r="H66" s="31"/>
      <c r="I66" s="30" t="s">
        <v>706</v>
      </c>
      <c r="J66" s="31"/>
    </row>
    <row r="69" ht="12.75">
      <c r="I69" s="182"/>
    </row>
  </sheetData>
  <sheetProtection/>
  <mergeCells count="31">
    <mergeCell ref="B46:B52"/>
    <mergeCell ref="D46:D52"/>
    <mergeCell ref="A46:A52"/>
    <mergeCell ref="D53:D61"/>
    <mergeCell ref="C34:C35"/>
    <mergeCell ref="A34:A35"/>
    <mergeCell ref="C25:C27"/>
    <mergeCell ref="D25:D27"/>
    <mergeCell ref="B53:B61"/>
    <mergeCell ref="B34:B35"/>
    <mergeCell ref="D34:D35"/>
    <mergeCell ref="C46:C52"/>
    <mergeCell ref="A53:A61"/>
    <mergeCell ref="A6:J7"/>
    <mergeCell ref="A11:A15"/>
    <mergeCell ref="B11:B15"/>
    <mergeCell ref="C11:C15"/>
    <mergeCell ref="D11:D15"/>
    <mergeCell ref="C53:C61"/>
    <mergeCell ref="I11:I15"/>
    <mergeCell ref="H11:H15"/>
    <mergeCell ref="G11:G15"/>
    <mergeCell ref="E11:E15"/>
    <mergeCell ref="J11:J15"/>
    <mergeCell ref="B25:B27"/>
    <mergeCell ref="A20:A24"/>
    <mergeCell ref="D20:D24"/>
    <mergeCell ref="B20:B24"/>
    <mergeCell ref="C20:C24"/>
    <mergeCell ref="A25:A27"/>
    <mergeCell ref="F11:F15"/>
  </mergeCells>
  <printOptions/>
  <pageMargins left="0.7480314960629921" right="0.15748031496062992" top="0.984251968503937" bottom="0.5905511811023623" header="0.5118110236220472" footer="0.5118110236220472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63"/>
  <sheetViews>
    <sheetView zoomScale="75" zoomScaleNormal="75" zoomScalePageLayoutView="0" workbookViewId="0" topLeftCell="E1">
      <selection activeCell="K6" sqref="K6"/>
    </sheetView>
  </sheetViews>
  <sheetFormatPr defaultColWidth="9.125" defaultRowHeight="12.75"/>
  <cols>
    <col min="1" max="1" width="15.00390625" style="19" customWidth="1"/>
    <col min="2" max="2" width="14.375" style="19" customWidth="1"/>
    <col min="3" max="3" width="14.875" style="19" customWidth="1"/>
    <col min="4" max="4" width="59.125" style="19" customWidth="1"/>
    <col min="5" max="5" width="50.375" style="19" bestFit="1" customWidth="1"/>
    <col min="6" max="6" width="18.50390625" style="112" customWidth="1"/>
    <col min="7" max="7" width="19.50390625" style="19" bestFit="1" customWidth="1"/>
    <col min="8" max="8" width="18.125" style="19" bestFit="1" customWidth="1"/>
    <col min="9" max="9" width="19.875" style="19" bestFit="1" customWidth="1"/>
    <col min="10" max="10" width="18.125" style="19" bestFit="1" customWidth="1"/>
    <col min="11" max="16384" width="9.125" style="19" customWidth="1"/>
  </cols>
  <sheetData>
    <row r="1" spans="9:10" ht="18">
      <c r="I1" s="30" t="s">
        <v>566</v>
      </c>
      <c r="J1" s="8"/>
    </row>
    <row r="2" spans="9:11" ht="18">
      <c r="I2" s="46" t="s">
        <v>707</v>
      </c>
      <c r="J2" s="113"/>
      <c r="K2"/>
    </row>
    <row r="3" spans="9:11" ht="18">
      <c r="I3" s="30" t="s">
        <v>704</v>
      </c>
      <c r="J3" s="8"/>
      <c r="K3"/>
    </row>
    <row r="4" spans="9:11" ht="18">
      <c r="I4" s="30" t="s">
        <v>709</v>
      </c>
      <c r="J4" s="8"/>
      <c r="K4"/>
    </row>
    <row r="5" spans="9:10" ht="15">
      <c r="I5"/>
      <c r="J5"/>
    </row>
    <row r="6" spans="1:10" ht="20.25">
      <c r="A6" s="383" t="s">
        <v>402</v>
      </c>
      <c r="B6" s="383"/>
      <c r="C6" s="383"/>
      <c r="D6" s="383"/>
      <c r="E6" s="383"/>
      <c r="F6" s="383"/>
      <c r="G6" s="383"/>
      <c r="H6" s="383"/>
      <c r="I6" s="383"/>
      <c r="J6" s="383"/>
    </row>
    <row r="7" ht="15">
      <c r="A7" s="112">
        <v>21528000000</v>
      </c>
    </row>
    <row r="8" ht="15">
      <c r="A8" s="114" t="s">
        <v>25</v>
      </c>
    </row>
    <row r="9" ht="15">
      <c r="J9" s="112" t="s">
        <v>5</v>
      </c>
    </row>
    <row r="10" spans="1:10" s="116" customFormat="1" ht="41.25" customHeight="1">
      <c r="A10" s="370" t="s">
        <v>27</v>
      </c>
      <c r="B10" s="370" t="s">
        <v>28</v>
      </c>
      <c r="C10" s="370" t="s">
        <v>16</v>
      </c>
      <c r="D10" s="370" t="s">
        <v>403</v>
      </c>
      <c r="E10" s="370" t="s">
        <v>404</v>
      </c>
      <c r="F10" s="370" t="s">
        <v>405</v>
      </c>
      <c r="G10" s="370" t="s">
        <v>7</v>
      </c>
      <c r="H10" s="370" t="s">
        <v>8</v>
      </c>
      <c r="I10" s="370" t="s">
        <v>9</v>
      </c>
      <c r="J10" s="370"/>
    </row>
    <row r="11" spans="1:10" s="116" customFormat="1" ht="9.75" customHeight="1" hidden="1">
      <c r="A11" s="370"/>
      <c r="B11" s="370"/>
      <c r="C11" s="370"/>
      <c r="D11" s="370"/>
      <c r="E11" s="370"/>
      <c r="F11" s="370"/>
      <c r="G11" s="370"/>
      <c r="H11" s="370"/>
      <c r="I11" s="370"/>
      <c r="J11" s="370"/>
    </row>
    <row r="12" spans="1:10" s="116" customFormat="1" ht="15" hidden="1">
      <c r="A12" s="370"/>
      <c r="B12" s="370"/>
      <c r="C12" s="370"/>
      <c r="D12" s="370"/>
      <c r="E12" s="370"/>
      <c r="F12" s="370"/>
      <c r="G12" s="370"/>
      <c r="H12" s="370"/>
      <c r="I12" s="370"/>
      <c r="J12" s="370"/>
    </row>
    <row r="13" spans="1:10" s="116" customFormat="1" ht="9.75" customHeight="1" hidden="1">
      <c r="A13" s="370"/>
      <c r="B13" s="370"/>
      <c r="C13" s="370"/>
      <c r="D13" s="370"/>
      <c r="E13" s="370"/>
      <c r="F13" s="370"/>
      <c r="G13" s="370"/>
      <c r="H13" s="370"/>
      <c r="I13" s="370"/>
      <c r="J13" s="370"/>
    </row>
    <row r="14" spans="1:10" s="116" customFormat="1" ht="15" hidden="1">
      <c r="A14" s="370"/>
      <c r="B14" s="370"/>
      <c r="C14" s="370"/>
      <c r="D14" s="370"/>
      <c r="E14" s="370"/>
      <c r="F14" s="370"/>
      <c r="G14" s="370"/>
      <c r="H14" s="370"/>
      <c r="I14" s="370"/>
      <c r="J14" s="370"/>
    </row>
    <row r="15" spans="1:10" s="116" customFormat="1" ht="51" customHeight="1">
      <c r="A15" s="370"/>
      <c r="B15" s="370"/>
      <c r="C15" s="370"/>
      <c r="D15" s="370"/>
      <c r="E15" s="370"/>
      <c r="F15" s="370"/>
      <c r="G15" s="370"/>
      <c r="H15" s="370"/>
      <c r="I15" s="370" t="s">
        <v>10</v>
      </c>
      <c r="J15" s="370" t="s">
        <v>11</v>
      </c>
    </row>
    <row r="16" spans="1:10" s="116" customFormat="1" ht="99.75" customHeight="1">
      <c r="A16" s="370"/>
      <c r="B16" s="370"/>
      <c r="C16" s="370"/>
      <c r="D16" s="370"/>
      <c r="E16" s="370"/>
      <c r="F16" s="370"/>
      <c r="G16" s="370"/>
      <c r="H16" s="370"/>
      <c r="I16" s="370"/>
      <c r="J16" s="370"/>
    </row>
    <row r="17" spans="1:10" ht="15">
      <c r="A17" s="26">
        <v>1</v>
      </c>
      <c r="B17" s="26">
        <v>2</v>
      </c>
      <c r="C17" s="26">
        <v>3</v>
      </c>
      <c r="D17" s="26">
        <v>4</v>
      </c>
      <c r="E17" s="26">
        <v>5</v>
      </c>
      <c r="F17" s="26">
        <v>6</v>
      </c>
      <c r="G17" s="26">
        <v>7</v>
      </c>
      <c r="H17" s="26">
        <v>8</v>
      </c>
      <c r="I17" s="26">
        <v>9</v>
      </c>
      <c r="J17" s="26">
        <v>10</v>
      </c>
    </row>
    <row r="18" spans="1:10" ht="15">
      <c r="A18" s="117" t="s">
        <v>30</v>
      </c>
      <c r="B18" s="117"/>
      <c r="C18" s="117"/>
      <c r="D18" s="118" t="s">
        <v>31</v>
      </c>
      <c r="E18" s="26"/>
      <c r="F18" s="26"/>
      <c r="G18" s="36">
        <f>G19</f>
        <v>109220574</v>
      </c>
      <c r="H18" s="36">
        <f>H19</f>
        <v>82479368</v>
      </c>
      <c r="I18" s="36">
        <f>I19</f>
        <v>26741206</v>
      </c>
      <c r="J18" s="36">
        <f>J19</f>
        <v>25759248</v>
      </c>
    </row>
    <row r="19" spans="1:10" ht="15">
      <c r="A19" s="117" t="s">
        <v>32</v>
      </c>
      <c r="B19" s="117"/>
      <c r="C19" s="117"/>
      <c r="D19" s="118" t="s">
        <v>31</v>
      </c>
      <c r="E19" s="26"/>
      <c r="F19" s="26"/>
      <c r="G19" s="36">
        <f>SUM(G20:G67)</f>
        <v>109220574</v>
      </c>
      <c r="H19" s="36">
        <f>SUM(H20:H67)</f>
        <v>82479368</v>
      </c>
      <c r="I19" s="36">
        <f>SUM(I20:I67)</f>
        <v>26741206</v>
      </c>
      <c r="J19" s="36">
        <f>SUM(J20:J67)</f>
        <v>25759248</v>
      </c>
    </row>
    <row r="20" spans="1:10" ht="78">
      <c r="A20" s="119" t="s">
        <v>33</v>
      </c>
      <c r="B20" s="119" t="s">
        <v>34</v>
      </c>
      <c r="C20" s="119" t="s">
        <v>35</v>
      </c>
      <c r="D20" s="120" t="s">
        <v>36</v>
      </c>
      <c r="E20" s="120" t="s">
        <v>406</v>
      </c>
      <c r="F20" s="115" t="s">
        <v>407</v>
      </c>
      <c r="G20" s="34">
        <f>H20+I20</f>
        <v>723835</v>
      </c>
      <c r="H20" s="34">
        <f>198326+201505+71594+62000</f>
        <v>533425</v>
      </c>
      <c r="I20" s="34">
        <f>J20</f>
        <v>190410</v>
      </c>
      <c r="J20" s="34">
        <f>180650+9760</f>
        <v>190410</v>
      </c>
    </row>
    <row r="21" spans="1:10" ht="78">
      <c r="A21" s="119" t="s">
        <v>40</v>
      </c>
      <c r="B21" s="121" t="s">
        <v>41</v>
      </c>
      <c r="C21" s="122" t="s">
        <v>42</v>
      </c>
      <c r="D21" s="120" t="s">
        <v>408</v>
      </c>
      <c r="E21" s="123" t="s">
        <v>409</v>
      </c>
      <c r="F21" s="115" t="s">
        <v>410</v>
      </c>
      <c r="G21" s="34">
        <f>H21+I21</f>
        <v>815115</v>
      </c>
      <c r="H21" s="34">
        <v>759115</v>
      </c>
      <c r="I21" s="34">
        <v>56000</v>
      </c>
      <c r="J21" s="34"/>
    </row>
    <row r="22" spans="1:10" ht="111.75" customHeight="1">
      <c r="A22" s="367" t="s">
        <v>45</v>
      </c>
      <c r="B22" s="382" t="s">
        <v>46</v>
      </c>
      <c r="C22" s="367" t="s">
        <v>47</v>
      </c>
      <c r="D22" s="371" t="s">
        <v>48</v>
      </c>
      <c r="E22" s="124" t="s">
        <v>411</v>
      </c>
      <c r="F22" s="125" t="s">
        <v>412</v>
      </c>
      <c r="G22" s="34">
        <f>H22+I22</f>
        <v>7319692</v>
      </c>
      <c r="H22" s="35">
        <f>5556832+183938+400000+654823-270000-73301</f>
        <v>6452292</v>
      </c>
      <c r="I22" s="34">
        <f>J22</f>
        <v>867400</v>
      </c>
      <c r="J22" s="34">
        <f>767500+99900+945200-945200</f>
        <v>867400</v>
      </c>
    </row>
    <row r="23" spans="1:10" ht="96" customHeight="1">
      <c r="A23" s="367"/>
      <c r="B23" s="382"/>
      <c r="C23" s="367"/>
      <c r="D23" s="371"/>
      <c r="E23" s="124" t="s">
        <v>413</v>
      </c>
      <c r="F23" s="115" t="s">
        <v>545</v>
      </c>
      <c r="G23" s="34">
        <f>H23+I23</f>
        <v>14201185</v>
      </c>
      <c r="H23" s="35">
        <f>4432232+1098750+135494+750000+137200+169202+71920+750000+20110+650000+270000+73301+184887+200000+195908+58000+72630+32030+68020-6999-100000</f>
        <v>9262685</v>
      </c>
      <c r="I23" s="34">
        <f>J23</f>
        <v>4938500</v>
      </c>
      <c r="J23" s="34">
        <f>4727000+211500</f>
        <v>4938500</v>
      </c>
    </row>
    <row r="24" spans="1:10" ht="96" customHeight="1">
      <c r="A24" s="119" t="s">
        <v>57</v>
      </c>
      <c r="B24" s="119" t="s">
        <v>58</v>
      </c>
      <c r="C24" s="119" t="s">
        <v>59</v>
      </c>
      <c r="D24" s="123" t="s">
        <v>60</v>
      </c>
      <c r="E24" s="124" t="s">
        <v>414</v>
      </c>
      <c r="F24" s="115" t="s">
        <v>546</v>
      </c>
      <c r="G24" s="34">
        <f aca="true" t="shared" si="0" ref="G24:G67">H24+I24</f>
        <v>1069344</v>
      </c>
      <c r="H24" s="35">
        <f>820783+58061+100000+22500</f>
        <v>1001344</v>
      </c>
      <c r="I24" s="34">
        <f>J24</f>
        <v>68000</v>
      </c>
      <c r="J24" s="34">
        <f>48000+20000</f>
        <v>68000</v>
      </c>
    </row>
    <row r="25" spans="1:10" ht="93">
      <c r="A25" s="359" t="s">
        <v>53</v>
      </c>
      <c r="B25" s="368">
        <v>2152</v>
      </c>
      <c r="C25" s="359" t="s">
        <v>55</v>
      </c>
      <c r="D25" s="371" t="s">
        <v>56</v>
      </c>
      <c r="E25" s="124" t="s">
        <v>415</v>
      </c>
      <c r="F25" s="125" t="s">
        <v>416</v>
      </c>
      <c r="G25" s="34">
        <f t="shared" si="0"/>
        <v>199000</v>
      </c>
      <c r="H25" s="34">
        <v>199000</v>
      </c>
      <c r="I25" s="34"/>
      <c r="J25" s="34"/>
    </row>
    <row r="26" spans="1:10" ht="78">
      <c r="A26" s="359"/>
      <c r="B26" s="368"/>
      <c r="C26" s="359"/>
      <c r="D26" s="371"/>
      <c r="E26" s="124" t="s">
        <v>417</v>
      </c>
      <c r="F26" s="125" t="s">
        <v>418</v>
      </c>
      <c r="G26" s="34">
        <f>H26+I26</f>
        <v>301814</v>
      </c>
      <c r="H26" s="34">
        <f>80000+221814</f>
        <v>301814</v>
      </c>
      <c r="I26" s="34"/>
      <c r="J26" s="34"/>
    </row>
    <row r="27" spans="1:10" ht="93">
      <c r="A27" s="359"/>
      <c r="B27" s="368"/>
      <c r="C27" s="359"/>
      <c r="D27" s="371"/>
      <c r="E27" s="124" t="s">
        <v>563</v>
      </c>
      <c r="F27" s="125" t="s">
        <v>419</v>
      </c>
      <c r="G27" s="34">
        <f>H27+I27</f>
        <v>184000</v>
      </c>
      <c r="H27" s="34">
        <f>100000+84000</f>
        <v>184000</v>
      </c>
      <c r="I27" s="34"/>
      <c r="J27" s="34"/>
    </row>
    <row r="28" spans="1:10" ht="99" customHeight="1">
      <c r="A28" s="359"/>
      <c r="B28" s="368"/>
      <c r="C28" s="379"/>
      <c r="D28" s="380"/>
      <c r="E28" s="124" t="s">
        <v>420</v>
      </c>
      <c r="F28" s="115" t="s">
        <v>547</v>
      </c>
      <c r="G28" s="34">
        <f t="shared" si="0"/>
        <v>4407980</v>
      </c>
      <c r="H28" s="34">
        <f>4654600-476620+100000+230000-100000</f>
        <v>4407980</v>
      </c>
      <c r="I28" s="34"/>
      <c r="J28" s="34"/>
    </row>
    <row r="29" spans="1:10" ht="98.25" customHeight="1">
      <c r="A29" s="359"/>
      <c r="B29" s="368"/>
      <c r="C29" s="379"/>
      <c r="D29" s="380"/>
      <c r="E29" s="124" t="s">
        <v>414</v>
      </c>
      <c r="F29" s="115" t="s">
        <v>546</v>
      </c>
      <c r="G29" s="34">
        <f t="shared" si="0"/>
        <v>706039</v>
      </c>
      <c r="H29" s="34">
        <f>106039+600000</f>
        <v>706039</v>
      </c>
      <c r="I29" s="34"/>
      <c r="J29" s="34"/>
    </row>
    <row r="30" spans="1:10" ht="110.25" customHeight="1">
      <c r="A30" s="359"/>
      <c r="B30" s="368"/>
      <c r="C30" s="379"/>
      <c r="D30" s="380"/>
      <c r="E30" s="124" t="s">
        <v>421</v>
      </c>
      <c r="F30" s="125" t="s">
        <v>422</v>
      </c>
      <c r="G30" s="34">
        <f t="shared" si="0"/>
        <v>1478500</v>
      </c>
      <c r="H30" s="34">
        <f>1356000+122500</f>
        <v>1478500</v>
      </c>
      <c r="I30" s="34"/>
      <c r="J30" s="34"/>
    </row>
    <row r="31" spans="1:10" ht="106.5" customHeight="1">
      <c r="A31" s="119" t="s">
        <v>63</v>
      </c>
      <c r="B31" s="127">
        <v>3112</v>
      </c>
      <c r="C31" s="122" t="s">
        <v>65</v>
      </c>
      <c r="D31" s="123" t="s">
        <v>66</v>
      </c>
      <c r="E31" s="128" t="s">
        <v>423</v>
      </c>
      <c r="F31" s="115" t="s">
        <v>424</v>
      </c>
      <c r="G31" s="34">
        <f t="shared" si="0"/>
        <v>5000</v>
      </c>
      <c r="H31" s="34">
        <v>5000</v>
      </c>
      <c r="I31" s="34"/>
      <c r="J31" s="34"/>
    </row>
    <row r="32" spans="1:10" ht="93">
      <c r="A32" s="119" t="s">
        <v>67</v>
      </c>
      <c r="B32" s="119" t="s">
        <v>68</v>
      </c>
      <c r="C32" s="119" t="s">
        <v>69</v>
      </c>
      <c r="D32" s="123" t="s">
        <v>70</v>
      </c>
      <c r="E32" s="124" t="s">
        <v>415</v>
      </c>
      <c r="F32" s="125" t="s">
        <v>416</v>
      </c>
      <c r="G32" s="34">
        <f t="shared" si="0"/>
        <v>126000</v>
      </c>
      <c r="H32" s="34">
        <f>94000+32000</f>
        <v>126000</v>
      </c>
      <c r="I32" s="34"/>
      <c r="J32" s="34"/>
    </row>
    <row r="33" spans="1:10" ht="78">
      <c r="A33" s="119" t="s">
        <v>379</v>
      </c>
      <c r="B33" s="119" t="s">
        <v>368</v>
      </c>
      <c r="C33" s="119" t="s">
        <v>369</v>
      </c>
      <c r="D33" s="123" t="s">
        <v>370</v>
      </c>
      <c r="E33" s="129" t="s">
        <v>425</v>
      </c>
      <c r="F33" s="125" t="s">
        <v>548</v>
      </c>
      <c r="G33" s="34">
        <f>H33+I33</f>
        <v>89320</v>
      </c>
      <c r="H33" s="34">
        <v>89320</v>
      </c>
      <c r="I33" s="34"/>
      <c r="J33" s="34"/>
    </row>
    <row r="34" spans="1:10" ht="93">
      <c r="A34" s="119" t="s">
        <v>71</v>
      </c>
      <c r="B34" s="119" t="s">
        <v>72</v>
      </c>
      <c r="C34" s="119" t="s">
        <v>73</v>
      </c>
      <c r="D34" s="123" t="s">
        <v>426</v>
      </c>
      <c r="E34" s="124" t="s">
        <v>415</v>
      </c>
      <c r="F34" s="125" t="s">
        <v>416</v>
      </c>
      <c r="G34" s="34">
        <f t="shared" si="0"/>
        <v>800000</v>
      </c>
      <c r="H34" s="34">
        <v>800000</v>
      </c>
      <c r="I34" s="34"/>
      <c r="J34" s="34"/>
    </row>
    <row r="35" spans="1:10" ht="100.5" customHeight="1">
      <c r="A35" s="119" t="s">
        <v>75</v>
      </c>
      <c r="B35" s="119" t="s">
        <v>76</v>
      </c>
      <c r="C35" s="119" t="s">
        <v>77</v>
      </c>
      <c r="D35" s="123" t="s">
        <v>78</v>
      </c>
      <c r="E35" s="120" t="s">
        <v>427</v>
      </c>
      <c r="F35" s="125" t="s">
        <v>428</v>
      </c>
      <c r="G35" s="34">
        <f>H35+I35</f>
        <v>303522</v>
      </c>
      <c r="H35" s="34">
        <f>253522+50000</f>
        <v>303522</v>
      </c>
      <c r="I35" s="34"/>
      <c r="J35" s="34"/>
    </row>
    <row r="36" spans="1:10" ht="93">
      <c r="A36" s="119" t="s">
        <v>79</v>
      </c>
      <c r="B36" s="119" t="s">
        <v>80</v>
      </c>
      <c r="C36" s="119" t="s">
        <v>77</v>
      </c>
      <c r="D36" s="123" t="s">
        <v>81</v>
      </c>
      <c r="E36" s="120" t="s">
        <v>427</v>
      </c>
      <c r="F36" s="125" t="s">
        <v>428</v>
      </c>
      <c r="G36" s="34">
        <f t="shared" si="0"/>
        <v>1684800</v>
      </c>
      <c r="H36" s="34">
        <f>1184800+500000</f>
        <v>1684800</v>
      </c>
      <c r="I36" s="34"/>
      <c r="J36" s="34"/>
    </row>
    <row r="37" spans="1:10" ht="109.5" customHeight="1">
      <c r="A37" s="119" t="s">
        <v>82</v>
      </c>
      <c r="B37" s="119" t="s">
        <v>83</v>
      </c>
      <c r="C37" s="119" t="s">
        <v>77</v>
      </c>
      <c r="D37" s="123" t="s">
        <v>429</v>
      </c>
      <c r="E37" s="128" t="s">
        <v>430</v>
      </c>
      <c r="F37" s="130" t="s">
        <v>431</v>
      </c>
      <c r="G37" s="34">
        <f t="shared" si="0"/>
        <v>2000000</v>
      </c>
      <c r="H37" s="34">
        <v>2000000</v>
      </c>
      <c r="I37" s="34"/>
      <c r="J37" s="34"/>
    </row>
    <row r="38" spans="1:10" ht="110.25" customHeight="1">
      <c r="A38" s="119" t="s">
        <v>85</v>
      </c>
      <c r="B38" s="119" t="s">
        <v>86</v>
      </c>
      <c r="C38" s="119" t="s">
        <v>77</v>
      </c>
      <c r="D38" s="123" t="s">
        <v>87</v>
      </c>
      <c r="E38" s="120" t="s">
        <v>427</v>
      </c>
      <c r="F38" s="125" t="s">
        <v>428</v>
      </c>
      <c r="G38" s="34">
        <f t="shared" si="0"/>
        <v>1273268</v>
      </c>
      <c r="H38" s="34">
        <f>300000+400000+473268+100000</f>
        <v>1273268</v>
      </c>
      <c r="I38" s="34"/>
      <c r="J38" s="34"/>
    </row>
    <row r="39" spans="1:10" ht="115.5" customHeight="1">
      <c r="A39" s="119" t="s">
        <v>88</v>
      </c>
      <c r="B39" s="122" t="s">
        <v>89</v>
      </c>
      <c r="C39" s="122" t="s">
        <v>77</v>
      </c>
      <c r="D39" s="123" t="s">
        <v>90</v>
      </c>
      <c r="E39" s="128" t="s">
        <v>430</v>
      </c>
      <c r="F39" s="130" t="s">
        <v>431</v>
      </c>
      <c r="G39" s="34">
        <f t="shared" si="0"/>
        <v>31304909</v>
      </c>
      <c r="H39" s="34">
        <f>31117320+113068+74521</f>
        <v>31304909</v>
      </c>
      <c r="I39" s="34"/>
      <c r="J39" s="34"/>
    </row>
    <row r="40" spans="1:10" ht="103.5" customHeight="1">
      <c r="A40" s="119" t="s">
        <v>387</v>
      </c>
      <c r="B40" s="119" t="s">
        <v>388</v>
      </c>
      <c r="C40" s="119" t="s">
        <v>91</v>
      </c>
      <c r="D40" s="145" t="s">
        <v>389</v>
      </c>
      <c r="E40" s="120" t="s">
        <v>427</v>
      </c>
      <c r="F40" s="125" t="s">
        <v>428</v>
      </c>
      <c r="G40" s="34">
        <f t="shared" si="0"/>
        <v>1836676</v>
      </c>
      <c r="H40" s="34">
        <f>1030968+805708</f>
        <v>1836676</v>
      </c>
      <c r="I40" s="34"/>
      <c r="J40" s="34"/>
    </row>
    <row r="41" spans="1:10" ht="93.75" customHeight="1">
      <c r="A41" s="359" t="s">
        <v>92</v>
      </c>
      <c r="B41" s="359" t="s">
        <v>93</v>
      </c>
      <c r="C41" s="359" t="s">
        <v>91</v>
      </c>
      <c r="D41" s="381" t="s">
        <v>94</v>
      </c>
      <c r="E41" s="124" t="s">
        <v>415</v>
      </c>
      <c r="F41" s="125" t="s">
        <v>416</v>
      </c>
      <c r="G41" s="34">
        <f t="shared" si="0"/>
        <v>49500</v>
      </c>
      <c r="H41" s="34">
        <v>49500</v>
      </c>
      <c r="I41" s="34"/>
      <c r="J41" s="34"/>
    </row>
    <row r="42" spans="1:10" ht="106.5" customHeight="1">
      <c r="A42" s="368"/>
      <c r="B42" s="368"/>
      <c r="C42" s="368"/>
      <c r="D42" s="371"/>
      <c r="E42" s="128" t="s">
        <v>430</v>
      </c>
      <c r="F42" s="130" t="s">
        <v>431</v>
      </c>
      <c r="G42" s="34">
        <f t="shared" si="0"/>
        <v>150000</v>
      </c>
      <c r="H42" s="34">
        <v>150000</v>
      </c>
      <c r="I42" s="34"/>
      <c r="J42" s="34"/>
    </row>
    <row r="43" spans="1:10" ht="78">
      <c r="A43" s="119" t="s">
        <v>95</v>
      </c>
      <c r="B43" s="119" t="s">
        <v>96</v>
      </c>
      <c r="C43" s="119" t="s">
        <v>97</v>
      </c>
      <c r="D43" s="131" t="s">
        <v>432</v>
      </c>
      <c r="E43" s="128" t="s">
        <v>433</v>
      </c>
      <c r="F43" s="125" t="s">
        <v>434</v>
      </c>
      <c r="G43" s="34">
        <f t="shared" si="0"/>
        <v>100000</v>
      </c>
      <c r="H43" s="34">
        <v>100000</v>
      </c>
      <c r="I43" s="34"/>
      <c r="J43" s="34"/>
    </row>
    <row r="44" spans="1:10" ht="93">
      <c r="A44" s="359" t="s">
        <v>353</v>
      </c>
      <c r="B44" s="359" t="s">
        <v>303</v>
      </c>
      <c r="C44" s="359" t="s">
        <v>99</v>
      </c>
      <c r="D44" s="371" t="s">
        <v>304</v>
      </c>
      <c r="E44" s="124" t="s">
        <v>435</v>
      </c>
      <c r="F44" s="130" t="s">
        <v>549</v>
      </c>
      <c r="G44" s="34">
        <f>H44+I44</f>
        <v>2337124</v>
      </c>
      <c r="H44" s="34"/>
      <c r="I44" s="34">
        <f aca="true" t="shared" si="1" ref="I44:I51">J44</f>
        <v>2337124</v>
      </c>
      <c r="J44" s="34">
        <f>1489850+1061729+799188-1013643</f>
        <v>2337124</v>
      </c>
    </row>
    <row r="45" spans="1:10" ht="93">
      <c r="A45" s="325"/>
      <c r="B45" s="325"/>
      <c r="C45" s="325"/>
      <c r="D45" s="339"/>
      <c r="E45" s="128" t="s">
        <v>437</v>
      </c>
      <c r="F45" s="130" t="s">
        <v>438</v>
      </c>
      <c r="G45" s="34">
        <f>H45+I45</f>
        <v>401229</v>
      </c>
      <c r="H45" s="34"/>
      <c r="I45" s="34">
        <f t="shared" si="1"/>
        <v>401229</v>
      </c>
      <c r="J45" s="34">
        <f>401229</f>
        <v>401229</v>
      </c>
    </row>
    <row r="46" spans="1:10" ht="93">
      <c r="A46" s="360" t="s">
        <v>384</v>
      </c>
      <c r="B46" s="360" t="s">
        <v>385</v>
      </c>
      <c r="C46" s="360" t="s">
        <v>99</v>
      </c>
      <c r="D46" s="362" t="s">
        <v>386</v>
      </c>
      <c r="E46" s="124" t="s">
        <v>411</v>
      </c>
      <c r="F46" s="125" t="s">
        <v>412</v>
      </c>
      <c r="G46" s="34">
        <f>H46+I46</f>
        <v>1110133</v>
      </c>
      <c r="H46" s="34"/>
      <c r="I46" s="34">
        <f t="shared" si="1"/>
        <v>1110133</v>
      </c>
      <c r="J46" s="34">
        <f>182560+682318+245255</f>
        <v>1110133</v>
      </c>
    </row>
    <row r="47" spans="1:10" ht="93">
      <c r="A47" s="361"/>
      <c r="B47" s="361"/>
      <c r="C47" s="361"/>
      <c r="D47" s="363"/>
      <c r="E47" s="124" t="s">
        <v>414</v>
      </c>
      <c r="F47" s="115" t="s">
        <v>546</v>
      </c>
      <c r="G47" s="34">
        <f>I47+H47</f>
        <v>250000</v>
      </c>
      <c r="H47" s="34"/>
      <c r="I47" s="34">
        <f>J47</f>
        <v>250000</v>
      </c>
      <c r="J47" s="34">
        <v>250000</v>
      </c>
    </row>
    <row r="48" spans="1:10" ht="93">
      <c r="A48" s="302"/>
      <c r="B48" s="302"/>
      <c r="C48" s="302"/>
      <c r="D48" s="327"/>
      <c r="E48" s="124" t="s">
        <v>413</v>
      </c>
      <c r="F48" s="115" t="s">
        <v>545</v>
      </c>
      <c r="G48" s="34">
        <f>H48+I48</f>
        <v>711330</v>
      </c>
      <c r="H48" s="34"/>
      <c r="I48" s="34">
        <f>J48</f>
        <v>711330</v>
      </c>
      <c r="J48" s="34">
        <f>200000+272399+238931</f>
        <v>711330</v>
      </c>
    </row>
    <row r="49" spans="1:10" ht="93">
      <c r="A49" s="359" t="s">
        <v>338</v>
      </c>
      <c r="B49" s="359" t="s">
        <v>258</v>
      </c>
      <c r="C49" s="359" t="s">
        <v>99</v>
      </c>
      <c r="D49" s="371" t="s">
        <v>339</v>
      </c>
      <c r="E49" s="124" t="s">
        <v>435</v>
      </c>
      <c r="F49" s="130" t="s">
        <v>550</v>
      </c>
      <c r="G49" s="34">
        <f>H49+I49</f>
        <v>1903815</v>
      </c>
      <c r="H49" s="34"/>
      <c r="I49" s="34">
        <f t="shared" si="1"/>
        <v>1903815</v>
      </c>
      <c r="J49" s="34">
        <f>578509+138312+53021+747973+300000+60000+26000</f>
        <v>1903815</v>
      </c>
    </row>
    <row r="50" spans="1:10" ht="99" customHeight="1">
      <c r="A50" s="325"/>
      <c r="B50" s="325"/>
      <c r="C50" s="325"/>
      <c r="D50" s="339"/>
      <c r="E50" s="128" t="s">
        <v>430</v>
      </c>
      <c r="F50" s="130" t="s">
        <v>431</v>
      </c>
      <c r="G50" s="34">
        <f>H50+I50</f>
        <v>1035724</v>
      </c>
      <c r="H50" s="34"/>
      <c r="I50" s="34">
        <f t="shared" si="1"/>
        <v>1035724</v>
      </c>
      <c r="J50" s="34">
        <f>1035724</f>
        <v>1035724</v>
      </c>
    </row>
    <row r="51" spans="1:10" ht="108.75" customHeight="1">
      <c r="A51" s="119" t="s">
        <v>315</v>
      </c>
      <c r="B51" s="119" t="s">
        <v>313</v>
      </c>
      <c r="C51" s="119" t="s">
        <v>100</v>
      </c>
      <c r="D51" s="120" t="s">
        <v>314</v>
      </c>
      <c r="E51" s="124" t="s">
        <v>435</v>
      </c>
      <c r="F51" s="130" t="s">
        <v>550</v>
      </c>
      <c r="G51" s="34">
        <f t="shared" si="0"/>
        <v>1116707</v>
      </c>
      <c r="H51" s="34"/>
      <c r="I51" s="34">
        <f t="shared" si="1"/>
        <v>1116707</v>
      </c>
      <c r="J51" s="34">
        <f>2711044-1404337-190000</f>
        <v>1116707</v>
      </c>
    </row>
    <row r="52" spans="1:10" ht="96" customHeight="1">
      <c r="A52" s="119" t="s">
        <v>380</v>
      </c>
      <c r="B52" s="119" t="s">
        <v>381</v>
      </c>
      <c r="C52" s="119" t="s">
        <v>382</v>
      </c>
      <c r="D52" s="123" t="s">
        <v>383</v>
      </c>
      <c r="E52" s="124" t="s">
        <v>439</v>
      </c>
      <c r="F52" s="130" t="s">
        <v>551</v>
      </c>
      <c r="G52" s="34">
        <f>H52+I52</f>
        <v>537421</v>
      </c>
      <c r="H52" s="34">
        <f>187310+219817+130294</f>
        <v>537421</v>
      </c>
      <c r="I52" s="34"/>
      <c r="J52" s="34"/>
    </row>
    <row r="53" spans="1:10" ht="108.75" customHeight="1">
      <c r="A53" s="119" t="s">
        <v>559</v>
      </c>
      <c r="B53" s="119" t="s">
        <v>560</v>
      </c>
      <c r="C53" s="119" t="s">
        <v>382</v>
      </c>
      <c r="D53" s="123" t="s">
        <v>561</v>
      </c>
      <c r="E53" s="120" t="s">
        <v>427</v>
      </c>
      <c r="F53" s="125" t="s">
        <v>428</v>
      </c>
      <c r="G53" s="34">
        <f>H53+I53</f>
        <v>195000</v>
      </c>
      <c r="H53" s="34">
        <f>195000</f>
        <v>195000</v>
      </c>
      <c r="I53" s="34"/>
      <c r="J53" s="34"/>
    </row>
    <row r="54" spans="1:10" ht="129" customHeight="1">
      <c r="A54" s="119" t="s">
        <v>101</v>
      </c>
      <c r="B54" s="119" t="s">
        <v>102</v>
      </c>
      <c r="C54" s="119" t="s">
        <v>103</v>
      </c>
      <c r="D54" s="123" t="s">
        <v>104</v>
      </c>
      <c r="E54" s="128" t="s">
        <v>430</v>
      </c>
      <c r="F54" s="130" t="s">
        <v>431</v>
      </c>
      <c r="G54" s="34">
        <f t="shared" si="0"/>
        <v>7500000</v>
      </c>
      <c r="H54" s="34">
        <v>7500000</v>
      </c>
      <c r="I54" s="34"/>
      <c r="J54" s="34"/>
    </row>
    <row r="55" spans="1:10" ht="120" customHeight="1">
      <c r="A55" s="384" t="s">
        <v>316</v>
      </c>
      <c r="B55" s="384" t="s">
        <v>317</v>
      </c>
      <c r="C55" s="384" t="s">
        <v>100</v>
      </c>
      <c r="D55" s="385" t="s">
        <v>318</v>
      </c>
      <c r="E55" s="120" t="s">
        <v>427</v>
      </c>
      <c r="F55" s="125" t="s">
        <v>428</v>
      </c>
      <c r="G55" s="34">
        <f t="shared" si="0"/>
        <v>10674170</v>
      </c>
      <c r="H55" s="34"/>
      <c r="I55" s="34">
        <f>J55</f>
        <v>10674170</v>
      </c>
      <c r="J55" s="34">
        <f>13750000+512640+65306+239000-4500000+40000+500000+67224</f>
        <v>10674170</v>
      </c>
    </row>
    <row r="56" spans="1:10" ht="122.25" customHeight="1">
      <c r="A56" s="304"/>
      <c r="B56" s="304"/>
      <c r="C56" s="304"/>
      <c r="D56" s="358"/>
      <c r="E56" s="124" t="s">
        <v>411</v>
      </c>
      <c r="F56" s="125" t="s">
        <v>412</v>
      </c>
      <c r="G56" s="34">
        <f t="shared" si="0"/>
        <v>154706</v>
      </c>
      <c r="H56" s="34"/>
      <c r="I56" s="34">
        <f>J56</f>
        <v>154706</v>
      </c>
      <c r="J56" s="34">
        <f>945200-790494</f>
        <v>154706</v>
      </c>
    </row>
    <row r="57" spans="1:10" ht="122.25" customHeight="1">
      <c r="A57" s="119" t="s">
        <v>105</v>
      </c>
      <c r="B57" s="119" t="s">
        <v>106</v>
      </c>
      <c r="C57" s="119" t="s">
        <v>100</v>
      </c>
      <c r="D57" s="120" t="s">
        <v>107</v>
      </c>
      <c r="E57" s="120" t="s">
        <v>440</v>
      </c>
      <c r="F57" s="115" t="s">
        <v>441</v>
      </c>
      <c r="G57" s="34">
        <f t="shared" si="0"/>
        <v>29837</v>
      </c>
      <c r="H57" s="34">
        <f>25325+4512</f>
        <v>29837</v>
      </c>
      <c r="I57" s="34"/>
      <c r="J57" s="34"/>
    </row>
    <row r="58" spans="1:10" ht="111" customHeight="1">
      <c r="A58" s="359" t="s">
        <v>108</v>
      </c>
      <c r="B58" s="359" t="s">
        <v>109</v>
      </c>
      <c r="C58" s="359" t="s">
        <v>100</v>
      </c>
      <c r="D58" s="378" t="s">
        <v>110</v>
      </c>
      <c r="E58" s="120" t="s">
        <v>406</v>
      </c>
      <c r="F58" s="115" t="s">
        <v>441</v>
      </c>
      <c r="G58" s="34">
        <f t="shared" si="0"/>
        <v>2392063</v>
      </c>
      <c r="H58" s="34">
        <f>14000+36000+28618+840000+31340+98700+38420+400000+17669+195000+78000+386452+195364+32500</f>
        <v>2392063</v>
      </c>
      <c r="I58" s="34"/>
      <c r="J58" s="34"/>
    </row>
    <row r="59" spans="1:10" ht="87" customHeight="1">
      <c r="A59" s="359"/>
      <c r="B59" s="359"/>
      <c r="C59" s="359"/>
      <c r="D59" s="378"/>
      <c r="E59" s="123" t="s">
        <v>442</v>
      </c>
      <c r="F59" s="130" t="s">
        <v>443</v>
      </c>
      <c r="G59" s="34">
        <f t="shared" si="0"/>
        <v>6000</v>
      </c>
      <c r="H59" s="34">
        <v>6000</v>
      </c>
      <c r="I59" s="34"/>
      <c r="J59" s="34"/>
    </row>
    <row r="60" spans="1:10" ht="109.5" customHeight="1">
      <c r="A60" s="368"/>
      <c r="B60" s="368"/>
      <c r="C60" s="368"/>
      <c r="D60" s="364"/>
      <c r="E60" s="120" t="s">
        <v>444</v>
      </c>
      <c r="F60" s="125" t="s">
        <v>552</v>
      </c>
      <c r="G60" s="34">
        <f t="shared" si="0"/>
        <v>300000</v>
      </c>
      <c r="H60" s="34">
        <f>300000+195000-195000</f>
        <v>300000</v>
      </c>
      <c r="I60" s="34"/>
      <c r="J60" s="34"/>
    </row>
    <row r="61" spans="1:10" ht="110.25" customHeight="1">
      <c r="A61" s="368"/>
      <c r="B61" s="368"/>
      <c r="C61" s="368"/>
      <c r="D61" s="364"/>
      <c r="E61" s="120" t="s">
        <v>445</v>
      </c>
      <c r="F61" s="125" t="s">
        <v>446</v>
      </c>
      <c r="G61" s="34">
        <f>H61</f>
        <v>91204</v>
      </c>
      <c r="H61" s="34">
        <f>91204</f>
        <v>91204</v>
      </c>
      <c r="I61" s="34"/>
      <c r="J61" s="34"/>
    </row>
    <row r="62" spans="1:10" ht="110.25" customHeight="1">
      <c r="A62" s="368"/>
      <c r="B62" s="368"/>
      <c r="C62" s="368"/>
      <c r="D62" s="364"/>
      <c r="E62" s="120" t="s">
        <v>427</v>
      </c>
      <c r="F62" s="125" t="s">
        <v>428</v>
      </c>
      <c r="G62" s="34">
        <f t="shared" si="0"/>
        <v>926655</v>
      </c>
      <c r="H62" s="34">
        <f>456628-300000+700000+70027</f>
        <v>926655</v>
      </c>
      <c r="I62" s="34"/>
      <c r="J62" s="34"/>
    </row>
    <row r="63" spans="1:10" ht="85.5" customHeight="1">
      <c r="A63" s="368"/>
      <c r="B63" s="368"/>
      <c r="C63" s="368"/>
      <c r="D63" s="364"/>
      <c r="E63" s="128" t="s">
        <v>447</v>
      </c>
      <c r="F63" s="130" t="s">
        <v>553</v>
      </c>
      <c r="G63" s="34">
        <f t="shared" si="0"/>
        <v>643537</v>
      </c>
      <c r="H63" s="34">
        <f>90000+495127+58410</f>
        <v>643537</v>
      </c>
      <c r="I63" s="34"/>
      <c r="J63" s="34"/>
    </row>
    <row r="64" spans="1:10" ht="93">
      <c r="A64" s="119" t="s">
        <v>111</v>
      </c>
      <c r="B64" s="126">
        <v>8210</v>
      </c>
      <c r="C64" s="119" t="s">
        <v>113</v>
      </c>
      <c r="D64" s="120" t="s">
        <v>114</v>
      </c>
      <c r="E64" s="123" t="s">
        <v>448</v>
      </c>
      <c r="F64" s="125" t="s">
        <v>554</v>
      </c>
      <c r="G64" s="34">
        <f t="shared" si="0"/>
        <v>3028557</v>
      </c>
      <c r="H64" s="34">
        <f>2497345+62500+51658+417054</f>
        <v>3028557</v>
      </c>
      <c r="I64" s="34"/>
      <c r="J64" s="34"/>
    </row>
    <row r="65" spans="1:10" ht="78">
      <c r="A65" s="119" t="s">
        <v>115</v>
      </c>
      <c r="B65" s="119" t="s">
        <v>116</v>
      </c>
      <c r="C65" s="119" t="s">
        <v>117</v>
      </c>
      <c r="D65" s="123" t="s">
        <v>118</v>
      </c>
      <c r="E65" s="128" t="s">
        <v>449</v>
      </c>
      <c r="F65" s="130" t="s">
        <v>450</v>
      </c>
      <c r="G65" s="34">
        <f t="shared" si="0"/>
        <v>925958</v>
      </c>
      <c r="H65" s="34"/>
      <c r="I65" s="34">
        <f>212000+713958</f>
        <v>925958</v>
      </c>
      <c r="J65" s="34"/>
    </row>
    <row r="66" spans="1:10" ht="78">
      <c r="A66" s="119" t="s">
        <v>119</v>
      </c>
      <c r="B66" s="119" t="s">
        <v>120</v>
      </c>
      <c r="C66" s="119" t="s">
        <v>121</v>
      </c>
      <c r="D66" s="120" t="s">
        <v>122</v>
      </c>
      <c r="E66" s="120" t="s">
        <v>451</v>
      </c>
      <c r="F66" s="125" t="s">
        <v>452</v>
      </c>
      <c r="G66" s="34">
        <f t="shared" si="0"/>
        <v>749450</v>
      </c>
      <c r="H66" s="34">
        <v>749450</v>
      </c>
      <c r="I66" s="34"/>
      <c r="J66" s="34"/>
    </row>
    <row r="67" spans="1:10" ht="99.75" customHeight="1">
      <c r="A67" s="119" t="s">
        <v>123</v>
      </c>
      <c r="B67" s="119" t="s">
        <v>124</v>
      </c>
      <c r="C67" s="119" t="s">
        <v>121</v>
      </c>
      <c r="D67" s="131" t="s">
        <v>125</v>
      </c>
      <c r="E67" s="120" t="s">
        <v>440</v>
      </c>
      <c r="F67" s="115" t="s">
        <v>441</v>
      </c>
      <c r="G67" s="34">
        <f t="shared" si="0"/>
        <v>1070455</v>
      </c>
      <c r="H67" s="34">
        <v>1070455</v>
      </c>
      <c r="I67" s="34"/>
      <c r="J67" s="34"/>
    </row>
    <row r="68" spans="1:10" ht="31.5" customHeight="1">
      <c r="A68" s="117" t="s">
        <v>126</v>
      </c>
      <c r="B68" s="119"/>
      <c r="C68" s="122"/>
      <c r="D68" s="132" t="s">
        <v>453</v>
      </c>
      <c r="E68" s="128"/>
      <c r="F68" s="115"/>
      <c r="G68" s="36">
        <f>G69</f>
        <v>29102345</v>
      </c>
      <c r="H68" s="36">
        <f>H69</f>
        <v>16217709</v>
      </c>
      <c r="I68" s="36">
        <f>I69</f>
        <v>12884636</v>
      </c>
      <c r="J68" s="36">
        <f>J69</f>
        <v>6228922</v>
      </c>
    </row>
    <row r="69" spans="1:10" ht="33.75" customHeight="1">
      <c r="A69" s="117" t="s">
        <v>128</v>
      </c>
      <c r="B69" s="119"/>
      <c r="C69" s="122"/>
      <c r="D69" s="132" t="s">
        <v>453</v>
      </c>
      <c r="E69" s="128"/>
      <c r="F69" s="115"/>
      <c r="G69" s="36">
        <f>H69+I69</f>
        <v>29102345</v>
      </c>
      <c r="H69" s="36">
        <f>SUM(H70:H85)</f>
        <v>16217709</v>
      </c>
      <c r="I69" s="36">
        <f>SUM(I70:I85)</f>
        <v>12884636</v>
      </c>
      <c r="J69" s="36">
        <f>SUM(J70:J85)</f>
        <v>6228922</v>
      </c>
    </row>
    <row r="70" spans="1:10" ht="93">
      <c r="A70" s="119" t="s">
        <v>129</v>
      </c>
      <c r="B70" s="119" t="s">
        <v>130</v>
      </c>
      <c r="C70" s="119" t="s">
        <v>35</v>
      </c>
      <c r="D70" s="123" t="s">
        <v>131</v>
      </c>
      <c r="E70" s="120" t="s">
        <v>440</v>
      </c>
      <c r="F70" s="115" t="s">
        <v>441</v>
      </c>
      <c r="G70" s="34">
        <f>H70+I70</f>
        <v>13000</v>
      </c>
      <c r="H70" s="34"/>
      <c r="I70" s="34">
        <f>J70</f>
        <v>13000</v>
      </c>
      <c r="J70" s="34">
        <v>13000</v>
      </c>
    </row>
    <row r="71" spans="1:10" ht="102" customHeight="1">
      <c r="A71" s="359" t="s">
        <v>132</v>
      </c>
      <c r="B71" s="359" t="s">
        <v>133</v>
      </c>
      <c r="C71" s="367" t="s">
        <v>134</v>
      </c>
      <c r="D71" s="364" t="s">
        <v>135</v>
      </c>
      <c r="E71" s="128" t="s">
        <v>702</v>
      </c>
      <c r="F71" s="125" t="s">
        <v>455</v>
      </c>
      <c r="G71" s="34">
        <f aca="true" t="shared" si="2" ref="G71:G83">H71+I71</f>
        <v>9051051</v>
      </c>
      <c r="H71" s="34">
        <f>3688410+175500+2800+28916</f>
        <v>3895626</v>
      </c>
      <c r="I71" s="34">
        <f>4900875+J71+225750</f>
        <v>5155425</v>
      </c>
      <c r="J71" s="34">
        <f>12000+16800</f>
        <v>28800</v>
      </c>
    </row>
    <row r="72" spans="1:10" ht="90.75" customHeight="1">
      <c r="A72" s="368"/>
      <c r="B72" s="368"/>
      <c r="C72" s="372"/>
      <c r="D72" s="364"/>
      <c r="E72" s="128" t="s">
        <v>456</v>
      </c>
      <c r="F72" s="125" t="s">
        <v>457</v>
      </c>
      <c r="G72" s="34">
        <f t="shared" si="2"/>
        <v>131078</v>
      </c>
      <c r="H72" s="34">
        <f>123146+7932</f>
        <v>131078</v>
      </c>
      <c r="I72" s="34"/>
      <c r="J72" s="34"/>
    </row>
    <row r="73" spans="1:10" ht="90.75" customHeight="1">
      <c r="A73" s="359" t="s">
        <v>136</v>
      </c>
      <c r="B73" s="359" t="s">
        <v>137</v>
      </c>
      <c r="C73" s="359" t="s">
        <v>138</v>
      </c>
      <c r="D73" s="378" t="s">
        <v>341</v>
      </c>
      <c r="E73" s="120" t="s">
        <v>458</v>
      </c>
      <c r="F73" s="125" t="s">
        <v>459</v>
      </c>
      <c r="G73" s="34">
        <f t="shared" si="2"/>
        <v>365148</v>
      </c>
      <c r="H73" s="34">
        <f>292950+26460+37800</f>
        <v>357210</v>
      </c>
      <c r="I73" s="34">
        <v>7938</v>
      </c>
      <c r="J73" s="34"/>
    </row>
    <row r="74" spans="1:10" ht="93" customHeight="1">
      <c r="A74" s="377"/>
      <c r="B74" s="377"/>
      <c r="C74" s="377"/>
      <c r="D74" s="364"/>
      <c r="E74" s="128" t="s">
        <v>702</v>
      </c>
      <c r="F74" s="125" t="s">
        <v>455</v>
      </c>
      <c r="G74" s="34">
        <f t="shared" si="2"/>
        <v>11392842</v>
      </c>
      <c r="H74" s="34">
        <f>6632110+697533+50000+3568+304820+50000+1380210+34340+38094+517478+804-45716-3313+6510</f>
        <v>9666438</v>
      </c>
      <c r="I74" s="34">
        <f>1308991+J74+212160</f>
        <v>1726404</v>
      </c>
      <c r="J74" s="34">
        <f>148120+232+56901</f>
        <v>205253</v>
      </c>
    </row>
    <row r="75" spans="1:10" ht="84.75" customHeight="1">
      <c r="A75" s="377"/>
      <c r="B75" s="377"/>
      <c r="C75" s="377"/>
      <c r="D75" s="364"/>
      <c r="E75" s="128" t="s">
        <v>456</v>
      </c>
      <c r="F75" s="125" t="s">
        <v>457</v>
      </c>
      <c r="G75" s="34">
        <f t="shared" si="2"/>
        <v>1821289</v>
      </c>
      <c r="H75" s="34">
        <v>1821289</v>
      </c>
      <c r="I75" s="34"/>
      <c r="J75" s="34"/>
    </row>
    <row r="76" spans="1:10" ht="78">
      <c r="A76" s="359" t="s">
        <v>145</v>
      </c>
      <c r="B76" s="359" t="s">
        <v>73</v>
      </c>
      <c r="C76" s="359" t="s">
        <v>146</v>
      </c>
      <c r="D76" s="371" t="s">
        <v>342</v>
      </c>
      <c r="E76" s="128" t="s">
        <v>456</v>
      </c>
      <c r="F76" s="125" t="s">
        <v>457</v>
      </c>
      <c r="G76" s="34">
        <f t="shared" si="2"/>
        <v>8002</v>
      </c>
      <c r="H76" s="34">
        <v>8002</v>
      </c>
      <c r="I76" s="34"/>
      <c r="J76" s="34"/>
    </row>
    <row r="77" spans="1:10" ht="93">
      <c r="A77" s="365"/>
      <c r="B77" s="365"/>
      <c r="C77" s="365"/>
      <c r="D77" s="369"/>
      <c r="E77" s="128" t="s">
        <v>702</v>
      </c>
      <c r="F77" s="125" t="s">
        <v>455</v>
      </c>
      <c r="G77" s="34">
        <f t="shared" si="2"/>
        <v>46384</v>
      </c>
      <c r="H77" s="34">
        <f>35265+11119</f>
        <v>46384</v>
      </c>
      <c r="I77" s="34"/>
      <c r="J77" s="34"/>
    </row>
    <row r="78" spans="1:10" ht="78">
      <c r="A78" s="119" t="s">
        <v>147</v>
      </c>
      <c r="B78" s="119" t="s">
        <v>148</v>
      </c>
      <c r="C78" s="119" t="s">
        <v>149</v>
      </c>
      <c r="D78" s="123" t="s">
        <v>343</v>
      </c>
      <c r="E78" s="128" t="s">
        <v>456</v>
      </c>
      <c r="F78" s="125" t="s">
        <v>457</v>
      </c>
      <c r="G78" s="34">
        <f t="shared" si="2"/>
        <v>350</v>
      </c>
      <c r="H78" s="34">
        <v>350</v>
      </c>
      <c r="I78" s="34"/>
      <c r="J78" s="34"/>
    </row>
    <row r="79" spans="1:10" ht="93">
      <c r="A79" s="119" t="s">
        <v>150</v>
      </c>
      <c r="B79" s="119" t="s">
        <v>151</v>
      </c>
      <c r="C79" s="119" t="s">
        <v>149</v>
      </c>
      <c r="D79" s="123" t="s">
        <v>152</v>
      </c>
      <c r="E79" s="128" t="s">
        <v>702</v>
      </c>
      <c r="F79" s="125" t="s">
        <v>455</v>
      </c>
      <c r="G79" s="34">
        <f>H79+I79</f>
        <v>35000</v>
      </c>
      <c r="H79" s="34"/>
      <c r="I79" s="34">
        <f>J79</f>
        <v>35000</v>
      </c>
      <c r="J79" s="34">
        <v>35000</v>
      </c>
    </row>
    <row r="80" spans="1:10" ht="78">
      <c r="A80" s="119" t="s">
        <v>156</v>
      </c>
      <c r="B80" s="119" t="s">
        <v>157</v>
      </c>
      <c r="C80" s="119" t="s">
        <v>149</v>
      </c>
      <c r="D80" s="27" t="s">
        <v>158</v>
      </c>
      <c r="E80" s="128" t="s">
        <v>460</v>
      </c>
      <c r="F80" s="125" t="s">
        <v>461</v>
      </c>
      <c r="G80" s="34">
        <f t="shared" si="2"/>
        <v>255140</v>
      </c>
      <c r="H80" s="34">
        <v>255140</v>
      </c>
      <c r="I80" s="34"/>
      <c r="J80" s="34"/>
    </row>
    <row r="81" spans="1:10" ht="81" customHeight="1">
      <c r="A81" s="119" t="s">
        <v>367</v>
      </c>
      <c r="B81" s="119" t="s">
        <v>368</v>
      </c>
      <c r="C81" s="119" t="s">
        <v>369</v>
      </c>
      <c r="D81" s="123" t="s">
        <v>370</v>
      </c>
      <c r="E81" s="129" t="s">
        <v>425</v>
      </c>
      <c r="F81" s="125" t="s">
        <v>462</v>
      </c>
      <c r="G81" s="34">
        <f t="shared" si="2"/>
        <v>2880</v>
      </c>
      <c r="H81" s="34">
        <v>2880</v>
      </c>
      <c r="I81" s="34"/>
      <c r="J81" s="34"/>
    </row>
    <row r="82" spans="1:10" ht="93">
      <c r="A82" s="359" t="s">
        <v>159</v>
      </c>
      <c r="B82" s="359" t="s">
        <v>160</v>
      </c>
      <c r="C82" s="359" t="s">
        <v>161</v>
      </c>
      <c r="D82" s="371" t="s">
        <v>162</v>
      </c>
      <c r="E82" s="128" t="s">
        <v>454</v>
      </c>
      <c r="F82" s="125" t="s">
        <v>455</v>
      </c>
      <c r="G82" s="34">
        <f t="shared" si="2"/>
        <v>33265</v>
      </c>
      <c r="H82" s="34">
        <v>23265</v>
      </c>
      <c r="I82" s="34">
        <f>J82</f>
        <v>10000</v>
      </c>
      <c r="J82" s="34">
        <v>10000</v>
      </c>
    </row>
    <row r="83" spans="1:10" ht="78">
      <c r="A83" s="368"/>
      <c r="B83" s="368"/>
      <c r="C83" s="368"/>
      <c r="D83" s="371"/>
      <c r="E83" s="128" t="s">
        <v>456</v>
      </c>
      <c r="F83" s="125" t="s">
        <v>457</v>
      </c>
      <c r="G83" s="34">
        <f t="shared" si="2"/>
        <v>10047</v>
      </c>
      <c r="H83" s="34">
        <v>10047</v>
      </c>
      <c r="I83" s="34"/>
      <c r="J83" s="34"/>
    </row>
    <row r="84" spans="1:10" ht="93">
      <c r="A84" s="119" t="s">
        <v>345</v>
      </c>
      <c r="B84" s="119" t="s">
        <v>346</v>
      </c>
      <c r="C84" s="119" t="s">
        <v>99</v>
      </c>
      <c r="D84" s="123" t="s">
        <v>347</v>
      </c>
      <c r="E84" s="128" t="s">
        <v>702</v>
      </c>
      <c r="F84" s="125" t="s">
        <v>455</v>
      </c>
      <c r="G84" s="34">
        <f>H84+I84</f>
        <v>5936869</v>
      </c>
      <c r="H84" s="34"/>
      <c r="I84" s="34">
        <f>J84</f>
        <v>5936869</v>
      </c>
      <c r="J84" s="34">
        <f>3545137+251261+46683+2049486+40989+3313</f>
        <v>5936869</v>
      </c>
    </row>
    <row r="85" spans="1:10" ht="78" hidden="1">
      <c r="A85" s="119" t="s">
        <v>312</v>
      </c>
      <c r="B85" s="119" t="s">
        <v>313</v>
      </c>
      <c r="C85" s="119" t="s">
        <v>100</v>
      </c>
      <c r="D85" s="123" t="s">
        <v>314</v>
      </c>
      <c r="E85" s="124" t="s">
        <v>435</v>
      </c>
      <c r="F85" s="130" t="s">
        <v>436</v>
      </c>
      <c r="G85" s="34">
        <f>H85+I85</f>
        <v>0</v>
      </c>
      <c r="H85" s="34"/>
      <c r="I85" s="34">
        <f>J85</f>
        <v>0</v>
      </c>
      <c r="J85" s="34">
        <f>597771-597771</f>
        <v>0</v>
      </c>
    </row>
    <row r="86" spans="1:10" ht="39" customHeight="1">
      <c r="A86" s="117" t="s">
        <v>163</v>
      </c>
      <c r="B86" s="133"/>
      <c r="C86" s="122"/>
      <c r="D86" s="132" t="s">
        <v>164</v>
      </c>
      <c r="E86" s="128"/>
      <c r="F86" s="115"/>
      <c r="G86" s="36">
        <f>G87</f>
        <v>6278602</v>
      </c>
      <c r="H86" s="36">
        <f>H87</f>
        <v>6227142</v>
      </c>
      <c r="I86" s="36">
        <f>I87</f>
        <v>51460</v>
      </c>
      <c r="J86" s="36">
        <f>J87</f>
        <v>51460</v>
      </c>
    </row>
    <row r="87" spans="1:10" ht="38.25" customHeight="1">
      <c r="A87" s="117" t="s">
        <v>165</v>
      </c>
      <c r="B87" s="133"/>
      <c r="C87" s="122"/>
      <c r="D87" s="132" t="s">
        <v>164</v>
      </c>
      <c r="E87" s="128"/>
      <c r="F87" s="115"/>
      <c r="G87" s="36">
        <f>SUM(G88:G101)</f>
        <v>6278602</v>
      </c>
      <c r="H87" s="36">
        <f>SUM(H88:H101)</f>
        <v>6227142</v>
      </c>
      <c r="I87" s="36">
        <f>SUM(I88:I101)</f>
        <v>51460</v>
      </c>
      <c r="J87" s="36">
        <f>SUM(J88:J101)</f>
        <v>51460</v>
      </c>
    </row>
    <row r="88" spans="1:10" ht="37.5" customHeight="1">
      <c r="A88" s="119" t="s">
        <v>276</v>
      </c>
      <c r="B88" s="119" t="s">
        <v>277</v>
      </c>
      <c r="C88" s="119" t="s">
        <v>69</v>
      </c>
      <c r="D88" s="123" t="s">
        <v>278</v>
      </c>
      <c r="E88" s="375" t="s">
        <v>415</v>
      </c>
      <c r="F88" s="372" t="s">
        <v>416</v>
      </c>
      <c r="G88" s="34">
        <f>H88+I88</f>
        <v>22260</v>
      </c>
      <c r="H88" s="34">
        <v>22260</v>
      </c>
      <c r="I88" s="34"/>
      <c r="J88" s="34"/>
    </row>
    <row r="89" spans="1:10" ht="36.75" customHeight="1">
      <c r="A89" s="119" t="s">
        <v>279</v>
      </c>
      <c r="B89" s="119" t="s">
        <v>280</v>
      </c>
      <c r="C89" s="119" t="s">
        <v>281</v>
      </c>
      <c r="D89" s="123" t="s">
        <v>282</v>
      </c>
      <c r="E89" s="339"/>
      <c r="F89" s="299"/>
      <c r="G89" s="34">
        <f aca="true" t="shared" si="3" ref="G89:G101">H89+I89</f>
        <v>155360</v>
      </c>
      <c r="H89" s="34">
        <v>155360</v>
      </c>
      <c r="I89" s="34"/>
      <c r="J89" s="34"/>
    </row>
    <row r="90" spans="1:10" ht="39.75" customHeight="1">
      <c r="A90" s="119" t="s">
        <v>283</v>
      </c>
      <c r="B90" s="119" t="s">
        <v>284</v>
      </c>
      <c r="C90" s="119" t="s">
        <v>281</v>
      </c>
      <c r="D90" s="123" t="s">
        <v>285</v>
      </c>
      <c r="E90" s="339"/>
      <c r="F90" s="299"/>
      <c r="G90" s="34">
        <f t="shared" si="3"/>
        <v>2800000</v>
      </c>
      <c r="H90" s="34">
        <v>2800000</v>
      </c>
      <c r="I90" s="34"/>
      <c r="J90" s="34"/>
    </row>
    <row r="91" spans="1:10" ht="41.25" customHeight="1">
      <c r="A91" s="119" t="s">
        <v>286</v>
      </c>
      <c r="B91" s="119" t="s">
        <v>287</v>
      </c>
      <c r="C91" s="119" t="s">
        <v>281</v>
      </c>
      <c r="D91" s="123" t="s">
        <v>288</v>
      </c>
      <c r="E91" s="339"/>
      <c r="F91" s="299"/>
      <c r="G91" s="34">
        <f t="shared" si="3"/>
        <v>153000</v>
      </c>
      <c r="H91" s="34">
        <v>153000</v>
      </c>
      <c r="I91" s="34"/>
      <c r="J91" s="34"/>
    </row>
    <row r="92" spans="1:10" ht="72" customHeight="1">
      <c r="A92" s="119" t="s">
        <v>173</v>
      </c>
      <c r="B92" s="119" t="s">
        <v>174</v>
      </c>
      <c r="C92" s="119" t="s">
        <v>65</v>
      </c>
      <c r="D92" s="123" t="s">
        <v>175</v>
      </c>
      <c r="E92" s="376" t="s">
        <v>463</v>
      </c>
      <c r="F92" s="370" t="s">
        <v>555</v>
      </c>
      <c r="G92" s="34">
        <f t="shared" si="3"/>
        <v>620642</v>
      </c>
      <c r="H92" s="34">
        <f>605597+15045</f>
        <v>620642</v>
      </c>
      <c r="I92" s="34"/>
      <c r="J92" s="34"/>
    </row>
    <row r="93" spans="1:10" ht="24" customHeight="1">
      <c r="A93" s="119" t="s">
        <v>176</v>
      </c>
      <c r="B93" s="119" t="s">
        <v>177</v>
      </c>
      <c r="C93" s="119" t="s">
        <v>65</v>
      </c>
      <c r="D93" s="120" t="s">
        <v>464</v>
      </c>
      <c r="E93" s="369"/>
      <c r="F93" s="299"/>
      <c r="G93" s="34">
        <f t="shared" si="3"/>
        <v>5000</v>
      </c>
      <c r="H93" s="34">
        <v>5000</v>
      </c>
      <c r="I93" s="34"/>
      <c r="J93" s="34"/>
    </row>
    <row r="94" spans="1:10" ht="70.5" customHeight="1">
      <c r="A94" s="119" t="s">
        <v>289</v>
      </c>
      <c r="B94" s="119" t="s">
        <v>290</v>
      </c>
      <c r="C94" s="119" t="s">
        <v>133</v>
      </c>
      <c r="D94" s="120" t="s">
        <v>465</v>
      </c>
      <c r="E94" s="375" t="s">
        <v>415</v>
      </c>
      <c r="F94" s="372" t="s">
        <v>416</v>
      </c>
      <c r="G94" s="34">
        <f t="shared" si="3"/>
        <v>606834</v>
      </c>
      <c r="H94" s="34">
        <v>606834</v>
      </c>
      <c r="I94" s="34"/>
      <c r="J94" s="34"/>
    </row>
    <row r="95" spans="1:10" ht="62.25">
      <c r="A95" s="119" t="s">
        <v>292</v>
      </c>
      <c r="B95" s="119" t="s">
        <v>293</v>
      </c>
      <c r="C95" s="119" t="s">
        <v>294</v>
      </c>
      <c r="D95" s="123" t="s">
        <v>466</v>
      </c>
      <c r="E95" s="339"/>
      <c r="F95" s="299"/>
      <c r="G95" s="34">
        <f t="shared" si="3"/>
        <v>310166</v>
      </c>
      <c r="H95" s="34">
        <v>310166</v>
      </c>
      <c r="I95" s="34"/>
      <c r="J95" s="34"/>
    </row>
    <row r="96" spans="1:10" ht="30.75">
      <c r="A96" s="119" t="s">
        <v>296</v>
      </c>
      <c r="B96" s="119" t="s">
        <v>68</v>
      </c>
      <c r="C96" s="119" t="s">
        <v>69</v>
      </c>
      <c r="D96" s="123" t="s">
        <v>70</v>
      </c>
      <c r="E96" s="339"/>
      <c r="F96" s="299"/>
      <c r="G96" s="34">
        <f t="shared" si="3"/>
        <v>303324</v>
      </c>
      <c r="H96" s="34">
        <f>253324+50000</f>
        <v>303324</v>
      </c>
      <c r="I96" s="34"/>
      <c r="J96" s="34"/>
    </row>
    <row r="97" spans="1:10" ht="46.5">
      <c r="A97" s="119" t="s">
        <v>297</v>
      </c>
      <c r="B97" s="119" t="s">
        <v>298</v>
      </c>
      <c r="C97" s="119" t="s">
        <v>69</v>
      </c>
      <c r="D97" s="123" t="s">
        <v>467</v>
      </c>
      <c r="E97" s="339"/>
      <c r="F97" s="299"/>
      <c r="G97" s="34">
        <f t="shared" si="3"/>
        <v>413958</v>
      </c>
      <c r="H97" s="34">
        <f>300000+100000+13958</f>
        <v>413958</v>
      </c>
      <c r="I97" s="34"/>
      <c r="J97" s="34"/>
    </row>
    <row r="98" spans="1:10" ht="87.75" customHeight="1">
      <c r="A98" s="119" t="s">
        <v>391</v>
      </c>
      <c r="B98" s="119" t="s">
        <v>368</v>
      </c>
      <c r="C98" s="119" t="s">
        <v>369</v>
      </c>
      <c r="D98" s="123" t="s">
        <v>370</v>
      </c>
      <c r="E98" s="129" t="s">
        <v>425</v>
      </c>
      <c r="F98" s="125" t="s">
        <v>462</v>
      </c>
      <c r="G98" s="34">
        <f t="shared" si="3"/>
        <v>11520</v>
      </c>
      <c r="H98" s="34">
        <v>11520</v>
      </c>
      <c r="I98" s="34"/>
      <c r="J98" s="34"/>
    </row>
    <row r="99" spans="1:10" ht="48" customHeight="1">
      <c r="A99" s="119" t="s">
        <v>300</v>
      </c>
      <c r="B99" s="119" t="s">
        <v>72</v>
      </c>
      <c r="C99" s="122" t="s">
        <v>73</v>
      </c>
      <c r="D99" s="134" t="s">
        <v>468</v>
      </c>
      <c r="E99" s="369" t="s">
        <v>415</v>
      </c>
      <c r="F99" s="370" t="s">
        <v>416</v>
      </c>
      <c r="G99" s="34">
        <f t="shared" si="3"/>
        <v>789380</v>
      </c>
      <c r="H99" s="34">
        <v>789380</v>
      </c>
      <c r="I99" s="34"/>
      <c r="J99" s="34"/>
    </row>
    <row r="100" spans="1:10" ht="57.75" customHeight="1">
      <c r="A100" s="119" t="s">
        <v>390</v>
      </c>
      <c r="B100" s="119" t="s">
        <v>258</v>
      </c>
      <c r="C100" s="119" t="s">
        <v>99</v>
      </c>
      <c r="D100" s="123" t="s">
        <v>339</v>
      </c>
      <c r="E100" s="339"/>
      <c r="F100" s="299"/>
      <c r="G100" s="34">
        <f>H100+I100</f>
        <v>51460</v>
      </c>
      <c r="H100" s="34"/>
      <c r="I100" s="34">
        <f>J100</f>
        <v>51460</v>
      </c>
      <c r="J100" s="34">
        <v>51460</v>
      </c>
    </row>
    <row r="101" spans="1:10" ht="93">
      <c r="A101" s="119" t="s">
        <v>301</v>
      </c>
      <c r="B101" s="119" t="s">
        <v>109</v>
      </c>
      <c r="C101" s="119" t="s">
        <v>100</v>
      </c>
      <c r="D101" s="123" t="s">
        <v>110</v>
      </c>
      <c r="E101" s="128" t="s">
        <v>469</v>
      </c>
      <c r="F101" s="130" t="s">
        <v>470</v>
      </c>
      <c r="G101" s="34">
        <f t="shared" si="3"/>
        <v>35698</v>
      </c>
      <c r="H101" s="34">
        <v>35698</v>
      </c>
      <c r="I101" s="34"/>
      <c r="J101" s="34"/>
    </row>
    <row r="102" spans="1:10" ht="15">
      <c r="A102" s="117" t="s">
        <v>179</v>
      </c>
      <c r="B102" s="133"/>
      <c r="C102" s="122"/>
      <c r="D102" s="135" t="s">
        <v>471</v>
      </c>
      <c r="E102" s="123"/>
      <c r="F102" s="115"/>
      <c r="G102" s="36">
        <f>G103</f>
        <v>4534441</v>
      </c>
      <c r="H102" s="36">
        <f>H103</f>
        <v>1507224</v>
      </c>
      <c r="I102" s="36">
        <f>I103</f>
        <v>3027217</v>
      </c>
      <c r="J102" s="36">
        <f>J103</f>
        <v>3027217</v>
      </c>
    </row>
    <row r="103" spans="1:10" ht="15">
      <c r="A103" s="117" t="s">
        <v>181</v>
      </c>
      <c r="B103" s="133"/>
      <c r="C103" s="122"/>
      <c r="D103" s="135" t="s">
        <v>471</v>
      </c>
      <c r="E103" s="123"/>
      <c r="F103" s="115"/>
      <c r="G103" s="36">
        <f aca="true" t="shared" si="4" ref="G103:G110">H103+I103</f>
        <v>4534441</v>
      </c>
      <c r="H103" s="36">
        <f>SUM(H104:H111)</f>
        <v>1507224</v>
      </c>
      <c r="I103" s="36">
        <f>SUM(I104:I111)</f>
        <v>3027217</v>
      </c>
      <c r="J103" s="36">
        <f>SUM(J104:J111)</f>
        <v>3027217</v>
      </c>
    </row>
    <row r="104" spans="1:10" ht="15">
      <c r="A104" s="119" t="s">
        <v>185</v>
      </c>
      <c r="B104" s="119" t="s">
        <v>186</v>
      </c>
      <c r="C104" s="119" t="s">
        <v>187</v>
      </c>
      <c r="D104" s="123" t="s">
        <v>188</v>
      </c>
      <c r="E104" s="357" t="s">
        <v>472</v>
      </c>
      <c r="F104" s="388" t="s">
        <v>473</v>
      </c>
      <c r="G104" s="34">
        <f t="shared" si="4"/>
        <v>50419</v>
      </c>
      <c r="H104" s="34">
        <f>50419-40000</f>
        <v>10419</v>
      </c>
      <c r="I104" s="34">
        <f>J104</f>
        <v>40000</v>
      </c>
      <c r="J104" s="34">
        <v>40000</v>
      </c>
    </row>
    <row r="105" spans="1:10" ht="15">
      <c r="A105" s="119" t="s">
        <v>189</v>
      </c>
      <c r="B105" s="119" t="s">
        <v>190</v>
      </c>
      <c r="C105" s="119" t="s">
        <v>187</v>
      </c>
      <c r="D105" s="123" t="s">
        <v>191</v>
      </c>
      <c r="E105" s="389"/>
      <c r="F105" s="330"/>
      <c r="G105" s="34">
        <f t="shared" si="4"/>
        <v>71659</v>
      </c>
      <c r="H105" s="34">
        <f>22561+22739+26359</f>
        <v>71659</v>
      </c>
      <c r="I105" s="34"/>
      <c r="J105" s="34"/>
    </row>
    <row r="106" spans="1:10" ht="42.75" customHeight="1">
      <c r="A106" s="119" t="s">
        <v>192</v>
      </c>
      <c r="B106" s="119" t="s">
        <v>193</v>
      </c>
      <c r="C106" s="119" t="s">
        <v>194</v>
      </c>
      <c r="D106" s="120" t="s">
        <v>195</v>
      </c>
      <c r="E106" s="358"/>
      <c r="F106" s="304"/>
      <c r="G106" s="34">
        <f t="shared" si="4"/>
        <v>941700</v>
      </c>
      <c r="H106" s="34">
        <f>19422+46596</f>
        <v>66018</v>
      </c>
      <c r="I106" s="34">
        <f>J106</f>
        <v>875682</v>
      </c>
      <c r="J106" s="34">
        <f>845082+30600</f>
        <v>875682</v>
      </c>
    </row>
    <row r="107" spans="1:10" ht="93">
      <c r="A107" s="359" t="s">
        <v>200</v>
      </c>
      <c r="B107" s="368">
        <v>4082</v>
      </c>
      <c r="C107" s="367" t="s">
        <v>198</v>
      </c>
      <c r="D107" s="373" t="s">
        <v>202</v>
      </c>
      <c r="E107" s="120" t="s">
        <v>472</v>
      </c>
      <c r="F107" s="125" t="s">
        <v>473</v>
      </c>
      <c r="G107" s="34">
        <f t="shared" si="4"/>
        <v>1080950</v>
      </c>
      <c r="H107" s="34">
        <f>1105850-12078-12822</f>
        <v>1080950</v>
      </c>
      <c r="I107" s="34"/>
      <c r="J107" s="34"/>
    </row>
    <row r="108" spans="1:10" ht="114.75" customHeight="1">
      <c r="A108" s="359"/>
      <c r="B108" s="368"/>
      <c r="C108" s="372"/>
      <c r="D108" s="373"/>
      <c r="E108" s="120" t="s">
        <v>444</v>
      </c>
      <c r="F108" s="125" t="s">
        <v>552</v>
      </c>
      <c r="G108" s="34">
        <f t="shared" si="4"/>
        <v>118178</v>
      </c>
      <c r="H108" s="34">
        <f>145000+47245-49869-24198</f>
        <v>118178</v>
      </c>
      <c r="I108" s="34"/>
      <c r="J108" s="34"/>
    </row>
    <row r="109" spans="1:10" ht="27" customHeight="1">
      <c r="A109" s="119" t="s">
        <v>371</v>
      </c>
      <c r="B109" s="119" t="s">
        <v>372</v>
      </c>
      <c r="C109" s="119" t="s">
        <v>99</v>
      </c>
      <c r="D109" s="123" t="s">
        <v>373</v>
      </c>
      <c r="E109" s="357" t="s">
        <v>472</v>
      </c>
      <c r="F109" s="388" t="s">
        <v>473</v>
      </c>
      <c r="G109" s="34">
        <f t="shared" si="4"/>
        <v>1911535</v>
      </c>
      <c r="H109" s="34"/>
      <c r="I109" s="34">
        <f>J109</f>
        <v>1911535</v>
      </c>
      <c r="J109" s="34">
        <f>297892+600000+1013643</f>
        <v>1911535</v>
      </c>
    </row>
    <row r="110" spans="1:10" ht="42.75" customHeight="1">
      <c r="A110" s="119" t="s">
        <v>374</v>
      </c>
      <c r="B110" s="119" t="s">
        <v>375</v>
      </c>
      <c r="C110" s="119" t="s">
        <v>99</v>
      </c>
      <c r="D110" s="123" t="s">
        <v>376</v>
      </c>
      <c r="E110" s="389"/>
      <c r="F110" s="330"/>
      <c r="G110" s="34">
        <f t="shared" si="4"/>
        <v>200000</v>
      </c>
      <c r="H110" s="34"/>
      <c r="I110" s="34">
        <f>J110</f>
        <v>200000</v>
      </c>
      <c r="J110" s="34">
        <f>200000</f>
        <v>200000</v>
      </c>
    </row>
    <row r="111" spans="1:10" ht="30.75" customHeight="1">
      <c r="A111" s="119" t="s">
        <v>203</v>
      </c>
      <c r="B111" s="126">
        <v>7622</v>
      </c>
      <c r="C111" s="122" t="s">
        <v>205</v>
      </c>
      <c r="D111" s="134" t="s">
        <v>474</v>
      </c>
      <c r="E111" s="358"/>
      <c r="F111" s="304"/>
      <c r="G111" s="34">
        <f>H111</f>
        <v>160000</v>
      </c>
      <c r="H111" s="34">
        <f>80000+80000</f>
        <v>160000</v>
      </c>
      <c r="I111" s="34"/>
      <c r="J111" s="34"/>
    </row>
    <row r="112" spans="1:10" ht="41.25" customHeight="1">
      <c r="A112" s="117" t="s">
        <v>207</v>
      </c>
      <c r="B112" s="133"/>
      <c r="C112" s="122"/>
      <c r="D112" s="132" t="s">
        <v>208</v>
      </c>
      <c r="E112" s="128"/>
      <c r="F112" s="130"/>
      <c r="G112" s="36">
        <f>G113</f>
        <v>7953887</v>
      </c>
      <c r="H112" s="36">
        <f>H113</f>
        <v>6465272</v>
      </c>
      <c r="I112" s="36">
        <f>I113</f>
        <v>1488615</v>
      </c>
      <c r="J112" s="36">
        <f>J113</f>
        <v>1488615</v>
      </c>
    </row>
    <row r="113" spans="1:10" ht="40.5" customHeight="1">
      <c r="A113" s="117" t="s">
        <v>209</v>
      </c>
      <c r="B113" s="133"/>
      <c r="C113" s="122"/>
      <c r="D113" s="132" t="s">
        <v>208</v>
      </c>
      <c r="E113" s="128"/>
      <c r="F113" s="130"/>
      <c r="G113" s="36">
        <f>SUM(G114:G124)</f>
        <v>7953887</v>
      </c>
      <c r="H113" s="36">
        <f>SUM(H114:H124)</f>
        <v>6465272</v>
      </c>
      <c r="I113" s="36">
        <f>SUM(I114:I124)</f>
        <v>1488615</v>
      </c>
      <c r="J113" s="36">
        <f>SUM(J114:J124)</f>
        <v>1488615</v>
      </c>
    </row>
    <row r="114" spans="1:10" ht="84.75" customHeight="1">
      <c r="A114" s="119" t="s">
        <v>211</v>
      </c>
      <c r="B114" s="119" t="s">
        <v>212</v>
      </c>
      <c r="C114" s="122" t="s">
        <v>65</v>
      </c>
      <c r="D114" s="120" t="s">
        <v>213</v>
      </c>
      <c r="E114" s="27" t="s">
        <v>475</v>
      </c>
      <c r="F114" s="125" t="s">
        <v>476</v>
      </c>
      <c r="G114" s="34">
        <f>H114+I114</f>
        <v>70700</v>
      </c>
      <c r="H114" s="34">
        <v>70700</v>
      </c>
      <c r="I114" s="34"/>
      <c r="J114" s="34"/>
    </row>
    <row r="115" spans="1:10" ht="91.5" customHeight="1">
      <c r="A115" s="119" t="s">
        <v>214</v>
      </c>
      <c r="B115" s="119" t="s">
        <v>215</v>
      </c>
      <c r="C115" s="122" t="s">
        <v>65</v>
      </c>
      <c r="D115" s="120" t="s">
        <v>477</v>
      </c>
      <c r="E115" s="120" t="s">
        <v>458</v>
      </c>
      <c r="F115" s="125" t="s">
        <v>459</v>
      </c>
      <c r="G115" s="34">
        <f aca="true" t="shared" si="5" ref="G115:G124">H115+I115</f>
        <v>361200</v>
      </c>
      <c r="H115" s="34">
        <f>361200</f>
        <v>361200</v>
      </c>
      <c r="I115" s="34"/>
      <c r="J115" s="34"/>
    </row>
    <row r="116" spans="1:10" ht="90" customHeight="1">
      <c r="A116" s="119" t="s">
        <v>392</v>
      </c>
      <c r="B116" s="119" t="s">
        <v>368</v>
      </c>
      <c r="C116" s="119" t="s">
        <v>369</v>
      </c>
      <c r="D116" s="123" t="s">
        <v>370</v>
      </c>
      <c r="E116" s="129" t="s">
        <v>425</v>
      </c>
      <c r="F116" s="125" t="s">
        <v>462</v>
      </c>
      <c r="G116" s="34">
        <f>H116+I116</f>
        <v>11520</v>
      </c>
      <c r="H116" s="34">
        <v>11520</v>
      </c>
      <c r="I116" s="34"/>
      <c r="J116" s="34"/>
    </row>
    <row r="117" spans="1:10" ht="117" customHeight="1">
      <c r="A117" s="366">
        <v>1115011</v>
      </c>
      <c r="B117" s="366">
        <v>5011</v>
      </c>
      <c r="C117" s="367" t="s">
        <v>161</v>
      </c>
      <c r="D117" s="364" t="s">
        <v>478</v>
      </c>
      <c r="E117" s="27" t="s">
        <v>479</v>
      </c>
      <c r="F117" s="125" t="s">
        <v>480</v>
      </c>
      <c r="G117" s="34">
        <f t="shared" si="5"/>
        <v>248601</v>
      </c>
      <c r="H117" s="34">
        <f>303040-51659-2780</f>
        <v>248601</v>
      </c>
      <c r="I117" s="34"/>
      <c r="J117" s="34"/>
    </row>
    <row r="118" spans="1:10" ht="96.75" customHeight="1">
      <c r="A118" s="366"/>
      <c r="B118" s="366"/>
      <c r="C118" s="367"/>
      <c r="D118" s="364"/>
      <c r="E118" s="120" t="s">
        <v>444</v>
      </c>
      <c r="F118" s="125" t="s">
        <v>552</v>
      </c>
      <c r="G118" s="34">
        <f t="shared" si="5"/>
        <v>69609</v>
      </c>
      <c r="H118" s="34">
        <f>136960-25200-42151</f>
        <v>69609</v>
      </c>
      <c r="I118" s="34"/>
      <c r="J118" s="34"/>
    </row>
    <row r="119" spans="1:10" ht="105.75" customHeight="1">
      <c r="A119" s="127">
        <v>1115041</v>
      </c>
      <c r="B119" s="127">
        <v>5041</v>
      </c>
      <c r="C119" s="122" t="s">
        <v>161</v>
      </c>
      <c r="D119" s="120" t="s">
        <v>223</v>
      </c>
      <c r="E119" s="27" t="s">
        <v>479</v>
      </c>
      <c r="F119" s="125" t="s">
        <v>480</v>
      </c>
      <c r="G119" s="34">
        <f t="shared" si="5"/>
        <v>4073442</v>
      </c>
      <c r="H119" s="34">
        <f>3651500+85835+199300+73876+12981+49950</f>
        <v>4073442</v>
      </c>
      <c r="I119" s="34"/>
      <c r="J119" s="34"/>
    </row>
    <row r="120" spans="1:10" ht="121.5" customHeight="1">
      <c r="A120" s="366">
        <v>1115062</v>
      </c>
      <c r="B120" s="366">
        <v>5062</v>
      </c>
      <c r="C120" s="367" t="s">
        <v>161</v>
      </c>
      <c r="D120" s="364" t="s">
        <v>481</v>
      </c>
      <c r="E120" s="27" t="s">
        <v>479</v>
      </c>
      <c r="F120" s="125" t="s">
        <v>480</v>
      </c>
      <c r="G120" s="34">
        <f t="shared" si="5"/>
        <v>345640</v>
      </c>
      <c r="H120" s="34">
        <f>100000+245640</f>
        <v>345640</v>
      </c>
      <c r="I120" s="34"/>
      <c r="J120" s="34"/>
    </row>
    <row r="121" spans="1:10" ht="78">
      <c r="A121" s="366"/>
      <c r="B121" s="366"/>
      <c r="C121" s="367"/>
      <c r="D121" s="374"/>
      <c r="E121" s="128" t="s">
        <v>482</v>
      </c>
      <c r="F121" s="125" t="s">
        <v>483</v>
      </c>
      <c r="G121" s="34">
        <f t="shared" si="5"/>
        <v>1284560</v>
      </c>
      <c r="H121" s="34">
        <v>1284560</v>
      </c>
      <c r="I121" s="34"/>
      <c r="J121" s="34"/>
    </row>
    <row r="122" spans="1:10" ht="93">
      <c r="A122" s="119" t="s">
        <v>348</v>
      </c>
      <c r="B122" s="119" t="s">
        <v>349</v>
      </c>
      <c r="C122" s="119" t="s">
        <v>99</v>
      </c>
      <c r="D122" s="131" t="s">
        <v>350</v>
      </c>
      <c r="E122" s="27" t="s">
        <v>479</v>
      </c>
      <c r="F122" s="125" t="s">
        <v>480</v>
      </c>
      <c r="G122" s="34">
        <f>H122+I122</f>
        <v>575498</v>
      </c>
      <c r="H122" s="34"/>
      <c r="I122" s="34">
        <f>J122</f>
        <v>575498</v>
      </c>
      <c r="J122" s="34">
        <f>575498</f>
        <v>575498</v>
      </c>
    </row>
    <row r="123" spans="1:10" ht="99" customHeight="1">
      <c r="A123" s="119" t="s">
        <v>340</v>
      </c>
      <c r="B123" s="119" t="s">
        <v>313</v>
      </c>
      <c r="C123" s="119" t="s">
        <v>100</v>
      </c>
      <c r="D123" s="123" t="s">
        <v>314</v>
      </c>
      <c r="E123" s="27" t="s">
        <v>479</v>
      </c>
      <c r="F123" s="125" t="s">
        <v>480</v>
      </c>
      <c r="G123" s="34">
        <f>H123+I123</f>
        <v>913117</v>
      </c>
      <c r="H123" s="34"/>
      <c r="I123" s="34">
        <f>J123</f>
        <v>913117</v>
      </c>
      <c r="J123" s="34">
        <f>174734+738383</f>
        <v>913117</v>
      </c>
    </row>
    <row r="124" spans="1:10" ht="78">
      <c r="A124" s="127">
        <v>1117693</v>
      </c>
      <c r="B124" s="127">
        <v>7693</v>
      </c>
      <c r="C124" s="122" t="s">
        <v>100</v>
      </c>
      <c r="D124" s="123" t="s">
        <v>110</v>
      </c>
      <c r="E124" s="120" t="s">
        <v>458</v>
      </c>
      <c r="F124" s="125" t="s">
        <v>459</v>
      </c>
      <c r="G124" s="34">
        <f t="shared" si="5"/>
        <v>0</v>
      </c>
      <c r="H124" s="34"/>
      <c r="I124" s="34"/>
      <c r="J124" s="34"/>
    </row>
    <row r="125" spans="1:10" ht="36.75" customHeight="1">
      <c r="A125" s="136" t="s">
        <v>231</v>
      </c>
      <c r="B125" s="122"/>
      <c r="C125" s="122"/>
      <c r="D125" s="132" t="s">
        <v>484</v>
      </c>
      <c r="E125" s="120"/>
      <c r="F125" s="115"/>
      <c r="G125" s="36">
        <f>G126</f>
        <v>2546092</v>
      </c>
      <c r="H125" s="36">
        <f>H126</f>
        <v>302398</v>
      </c>
      <c r="I125" s="36">
        <f>I126</f>
        <v>2243694</v>
      </c>
      <c r="J125" s="36">
        <f>J126</f>
        <v>2243694</v>
      </c>
    </row>
    <row r="126" spans="1:10" ht="49.5" customHeight="1">
      <c r="A126" s="136" t="s">
        <v>233</v>
      </c>
      <c r="B126" s="122"/>
      <c r="C126" s="122"/>
      <c r="D126" s="132" t="s">
        <v>484</v>
      </c>
      <c r="E126" s="120"/>
      <c r="F126" s="115"/>
      <c r="G126" s="36">
        <f>SUM(G127:G129)</f>
        <v>2546092</v>
      </c>
      <c r="H126" s="36">
        <f>SUM(H127:H129)</f>
        <v>302398</v>
      </c>
      <c r="I126" s="36">
        <f>SUM(I127:I129)</f>
        <v>2243694</v>
      </c>
      <c r="J126" s="36">
        <f>SUM(J127:J129)</f>
        <v>2243694</v>
      </c>
    </row>
    <row r="127" spans="1:10" ht="106.5" customHeight="1">
      <c r="A127" s="119" t="s">
        <v>394</v>
      </c>
      <c r="B127" s="119" t="s">
        <v>349</v>
      </c>
      <c r="C127" s="119" t="s">
        <v>99</v>
      </c>
      <c r="D127" s="123" t="s">
        <v>350</v>
      </c>
      <c r="E127" s="124" t="s">
        <v>435</v>
      </c>
      <c r="F127" s="130" t="s">
        <v>556</v>
      </c>
      <c r="G127" s="34">
        <f>H127+I127</f>
        <v>22860</v>
      </c>
      <c r="H127" s="34"/>
      <c r="I127" s="34">
        <f>J127</f>
        <v>22860</v>
      </c>
      <c r="J127" s="34">
        <v>22860</v>
      </c>
    </row>
    <row r="128" spans="1:10" ht="110.25" customHeight="1">
      <c r="A128" s="119" t="s">
        <v>393</v>
      </c>
      <c r="B128" s="119" t="s">
        <v>313</v>
      </c>
      <c r="C128" s="119" t="s">
        <v>100</v>
      </c>
      <c r="D128" s="123" t="s">
        <v>314</v>
      </c>
      <c r="E128" s="124" t="s">
        <v>435</v>
      </c>
      <c r="F128" s="130" t="s">
        <v>556</v>
      </c>
      <c r="G128" s="34">
        <f>H128+I128</f>
        <v>2220834</v>
      </c>
      <c r="H128" s="34"/>
      <c r="I128" s="34">
        <f>J128</f>
        <v>2220834</v>
      </c>
      <c r="J128" s="34">
        <f>6666667-2000000-1000000-1445833</f>
        <v>2220834</v>
      </c>
    </row>
    <row r="129" spans="1:10" ht="96" customHeight="1">
      <c r="A129" s="122" t="s">
        <v>235</v>
      </c>
      <c r="B129" s="119">
        <v>7693</v>
      </c>
      <c r="C129" s="122" t="s">
        <v>100</v>
      </c>
      <c r="D129" s="123" t="s">
        <v>110</v>
      </c>
      <c r="E129" s="120" t="s">
        <v>485</v>
      </c>
      <c r="F129" s="125" t="s">
        <v>486</v>
      </c>
      <c r="G129" s="34">
        <f>H129+I129</f>
        <v>302398</v>
      </c>
      <c r="H129" s="34">
        <v>302398</v>
      </c>
      <c r="I129" s="34"/>
      <c r="J129" s="34"/>
    </row>
    <row r="130" spans="1:10" ht="77.25" customHeight="1">
      <c r="A130" s="117" t="s">
        <v>241</v>
      </c>
      <c r="B130" s="117"/>
      <c r="C130" s="117"/>
      <c r="D130" s="137" t="s">
        <v>242</v>
      </c>
      <c r="E130" s="120"/>
      <c r="F130" s="125"/>
      <c r="G130" s="36">
        <f>G131</f>
        <v>953705</v>
      </c>
      <c r="H130" s="36">
        <f>H131</f>
        <v>811394</v>
      </c>
      <c r="I130" s="36">
        <f>I131</f>
        <v>142311</v>
      </c>
      <c r="J130" s="36">
        <f>J131</f>
        <v>142311</v>
      </c>
    </row>
    <row r="131" spans="1:10" ht="62.25" customHeight="1">
      <c r="A131" s="117" t="s">
        <v>243</v>
      </c>
      <c r="B131" s="117"/>
      <c r="C131" s="117"/>
      <c r="D131" s="137" t="s">
        <v>242</v>
      </c>
      <c r="E131" s="120"/>
      <c r="F131" s="125"/>
      <c r="G131" s="36">
        <f>SUM(G132:G135)</f>
        <v>953705</v>
      </c>
      <c r="H131" s="36">
        <f>SUM(H132:H135)</f>
        <v>811394</v>
      </c>
      <c r="I131" s="36">
        <f>SUM(I132:I135)</f>
        <v>142311</v>
      </c>
      <c r="J131" s="36">
        <f>SUM(J132:J135)</f>
        <v>142311</v>
      </c>
    </row>
    <row r="132" spans="1:10" ht="84" customHeight="1">
      <c r="A132" s="359" t="s">
        <v>245</v>
      </c>
      <c r="B132" s="359" t="s">
        <v>109</v>
      </c>
      <c r="C132" s="359" t="s">
        <v>100</v>
      </c>
      <c r="D132" s="371" t="s">
        <v>487</v>
      </c>
      <c r="E132" s="123" t="s">
        <v>488</v>
      </c>
      <c r="F132" s="125" t="s">
        <v>489</v>
      </c>
      <c r="G132" s="34">
        <f>H132+I132</f>
        <v>385512</v>
      </c>
      <c r="H132" s="34">
        <v>385512</v>
      </c>
      <c r="I132" s="34"/>
      <c r="J132" s="34"/>
    </row>
    <row r="133" spans="1:10" ht="96.75" customHeight="1">
      <c r="A133" s="325"/>
      <c r="B133" s="325"/>
      <c r="C133" s="325"/>
      <c r="D133" s="339"/>
      <c r="E133" s="120" t="s">
        <v>406</v>
      </c>
      <c r="F133" s="115" t="s">
        <v>557</v>
      </c>
      <c r="G133" s="34">
        <f>H133+I133</f>
        <v>39000</v>
      </c>
      <c r="H133" s="34"/>
      <c r="I133" s="34">
        <f>J133</f>
        <v>39000</v>
      </c>
      <c r="J133" s="34">
        <f>39000</f>
        <v>39000</v>
      </c>
    </row>
    <row r="134" spans="1:10" ht="96.75" customHeight="1">
      <c r="A134" s="146" t="s">
        <v>493</v>
      </c>
      <c r="B134" s="146" t="s">
        <v>494</v>
      </c>
      <c r="C134" s="146" t="s">
        <v>495</v>
      </c>
      <c r="D134" s="147" t="s">
        <v>496</v>
      </c>
      <c r="E134" s="120" t="s">
        <v>406</v>
      </c>
      <c r="F134" s="115" t="s">
        <v>558</v>
      </c>
      <c r="G134" s="34">
        <f>H134+I134</f>
        <v>309193</v>
      </c>
      <c r="H134" s="34">
        <f>58915+37290+44542+18345+65636</f>
        <v>224728</v>
      </c>
      <c r="I134" s="34">
        <f>J134</f>
        <v>84465</v>
      </c>
      <c r="J134" s="34">
        <f>15300+69165</f>
        <v>84465</v>
      </c>
    </row>
    <row r="135" spans="1:10" ht="78">
      <c r="A135" s="119" t="s">
        <v>247</v>
      </c>
      <c r="B135" s="119" t="s">
        <v>248</v>
      </c>
      <c r="C135" s="119" t="s">
        <v>113</v>
      </c>
      <c r="D135" s="123" t="s">
        <v>249</v>
      </c>
      <c r="E135" s="123" t="s">
        <v>488</v>
      </c>
      <c r="F135" s="125" t="s">
        <v>489</v>
      </c>
      <c r="G135" s="34">
        <f>H135+I135</f>
        <v>220000</v>
      </c>
      <c r="H135" s="34">
        <f>200000-18846+20000</f>
        <v>201154</v>
      </c>
      <c r="I135" s="34">
        <f>J135</f>
        <v>18846</v>
      </c>
      <c r="J135" s="34">
        <f>18846</f>
        <v>18846</v>
      </c>
    </row>
    <row r="136" spans="1:10" ht="37.5" customHeight="1">
      <c r="A136" s="117" t="s">
        <v>250</v>
      </c>
      <c r="B136" s="117"/>
      <c r="C136" s="117"/>
      <c r="D136" s="118" t="s">
        <v>251</v>
      </c>
      <c r="E136" s="120"/>
      <c r="F136" s="115"/>
      <c r="G136" s="36">
        <f>G137</f>
        <v>10446290</v>
      </c>
      <c r="H136" s="36">
        <f>H137</f>
        <v>5519004</v>
      </c>
      <c r="I136" s="36">
        <f>I137</f>
        <v>4927286</v>
      </c>
      <c r="J136" s="36">
        <f>J137</f>
        <v>4927286</v>
      </c>
    </row>
    <row r="137" spans="1:10" ht="46.5" customHeight="1">
      <c r="A137" s="117" t="s">
        <v>252</v>
      </c>
      <c r="B137" s="117"/>
      <c r="C137" s="117"/>
      <c r="D137" s="118" t="s">
        <v>251</v>
      </c>
      <c r="E137" s="120"/>
      <c r="F137" s="115"/>
      <c r="G137" s="36">
        <f>H137+I137</f>
        <v>10446290</v>
      </c>
      <c r="H137" s="36">
        <f>SUM(H138:H148)</f>
        <v>5519004</v>
      </c>
      <c r="I137" s="36">
        <f>SUM(I138:I148)</f>
        <v>4927286</v>
      </c>
      <c r="J137" s="36">
        <f>SUM(J138:J148)</f>
        <v>4927286</v>
      </c>
    </row>
    <row r="138" spans="1:10" ht="92.25" customHeight="1">
      <c r="A138" s="119" t="s">
        <v>395</v>
      </c>
      <c r="B138" s="119" t="s">
        <v>368</v>
      </c>
      <c r="C138" s="119" t="s">
        <v>369</v>
      </c>
      <c r="D138" s="123" t="s">
        <v>370</v>
      </c>
      <c r="E138" s="129" t="s">
        <v>425</v>
      </c>
      <c r="F138" s="125" t="s">
        <v>462</v>
      </c>
      <c r="G138" s="34">
        <f>H138</f>
        <v>24638</v>
      </c>
      <c r="H138" s="34">
        <v>24638</v>
      </c>
      <c r="I138" s="34"/>
      <c r="J138" s="34"/>
    </row>
    <row r="139" spans="1:10" ht="41.25" customHeight="1">
      <c r="A139" s="119" t="s">
        <v>307</v>
      </c>
      <c r="B139" s="119" t="s">
        <v>80</v>
      </c>
      <c r="C139" s="119" t="s">
        <v>77</v>
      </c>
      <c r="D139" s="123" t="s">
        <v>81</v>
      </c>
      <c r="E139" s="357" t="s">
        <v>490</v>
      </c>
      <c r="F139" s="388" t="s">
        <v>491</v>
      </c>
      <c r="G139" s="34">
        <f aca="true" t="shared" si="6" ref="G139:G148">H139+I139</f>
        <v>44480</v>
      </c>
      <c r="H139" s="34">
        <v>44480</v>
      </c>
      <c r="I139" s="34"/>
      <c r="J139" s="34"/>
    </row>
    <row r="140" spans="1:10" ht="42.75" customHeight="1">
      <c r="A140" s="119" t="s">
        <v>254</v>
      </c>
      <c r="B140" s="119" t="s">
        <v>83</v>
      </c>
      <c r="C140" s="119" t="s">
        <v>77</v>
      </c>
      <c r="D140" s="123" t="s">
        <v>562</v>
      </c>
      <c r="E140" s="386"/>
      <c r="F140" s="330"/>
      <c r="G140" s="34">
        <f t="shared" si="6"/>
        <v>55000</v>
      </c>
      <c r="H140" s="34">
        <v>55000</v>
      </c>
      <c r="I140" s="34"/>
      <c r="J140" s="34"/>
    </row>
    <row r="141" spans="1:10" ht="39" customHeight="1">
      <c r="A141" s="119" t="s">
        <v>255</v>
      </c>
      <c r="B141" s="119" t="s">
        <v>89</v>
      </c>
      <c r="C141" s="119" t="s">
        <v>77</v>
      </c>
      <c r="D141" s="123" t="s">
        <v>90</v>
      </c>
      <c r="E141" s="386"/>
      <c r="F141" s="330"/>
      <c r="G141" s="34">
        <f t="shared" si="6"/>
        <v>3471890</v>
      </c>
      <c r="H141" s="34">
        <f>2039358+511184+144987</f>
        <v>2695529</v>
      </c>
      <c r="I141" s="34">
        <f aca="true" t="shared" si="7" ref="I141:I147">J141</f>
        <v>776361</v>
      </c>
      <c r="J141" s="34">
        <f>199980+108131+385200+8000+75050</f>
        <v>776361</v>
      </c>
    </row>
    <row r="142" spans="1:10" ht="49.5" customHeight="1">
      <c r="A142" s="119" t="s">
        <v>305</v>
      </c>
      <c r="B142" s="119" t="s">
        <v>306</v>
      </c>
      <c r="C142" s="119" t="s">
        <v>77</v>
      </c>
      <c r="D142" s="123" t="s">
        <v>308</v>
      </c>
      <c r="E142" s="387"/>
      <c r="F142" s="304"/>
      <c r="G142" s="34">
        <f t="shared" si="6"/>
        <v>548324</v>
      </c>
      <c r="H142" s="34">
        <f>199000+299792+49532</f>
        <v>548324</v>
      </c>
      <c r="I142" s="34"/>
      <c r="J142" s="34"/>
    </row>
    <row r="143" spans="1:10" ht="43.5" customHeight="1">
      <c r="A143" s="119" t="s">
        <v>256</v>
      </c>
      <c r="B143" s="119" t="s">
        <v>96</v>
      </c>
      <c r="C143" s="119" t="s">
        <v>97</v>
      </c>
      <c r="D143" s="123" t="s">
        <v>98</v>
      </c>
      <c r="E143" s="357" t="s">
        <v>490</v>
      </c>
      <c r="F143" s="388" t="s">
        <v>491</v>
      </c>
      <c r="G143" s="34">
        <f t="shared" si="6"/>
        <v>122576</v>
      </c>
      <c r="H143" s="34">
        <v>122576</v>
      </c>
      <c r="I143" s="34"/>
      <c r="J143" s="34"/>
    </row>
    <row r="144" spans="1:10" ht="37.5" customHeight="1">
      <c r="A144" s="119" t="s">
        <v>302</v>
      </c>
      <c r="B144" s="119" t="s">
        <v>303</v>
      </c>
      <c r="C144" s="119" t="s">
        <v>99</v>
      </c>
      <c r="D144" s="123" t="s">
        <v>304</v>
      </c>
      <c r="E144" s="386"/>
      <c r="F144" s="330"/>
      <c r="G144" s="34">
        <f t="shared" si="6"/>
        <v>325486</v>
      </c>
      <c r="H144" s="34"/>
      <c r="I144" s="34">
        <f t="shared" si="7"/>
        <v>325486</v>
      </c>
      <c r="J144" s="34">
        <f>575278+50000-299792</f>
        <v>325486</v>
      </c>
    </row>
    <row r="145" spans="1:10" ht="45.75" customHeight="1">
      <c r="A145" s="119" t="s">
        <v>257</v>
      </c>
      <c r="B145" s="119" t="s">
        <v>258</v>
      </c>
      <c r="C145" s="119" t="s">
        <v>99</v>
      </c>
      <c r="D145" s="123" t="s">
        <v>259</v>
      </c>
      <c r="E145" s="386"/>
      <c r="F145" s="330"/>
      <c r="G145" s="34">
        <f t="shared" si="6"/>
        <v>2542137</v>
      </c>
      <c r="H145" s="34"/>
      <c r="I145" s="34">
        <f t="shared" si="7"/>
        <v>2542137</v>
      </c>
      <c r="J145" s="34">
        <v>2542137</v>
      </c>
    </row>
    <row r="146" spans="1:10" ht="62.25" customHeight="1">
      <c r="A146" s="119" t="s">
        <v>260</v>
      </c>
      <c r="B146" s="119" t="s">
        <v>261</v>
      </c>
      <c r="C146" s="119" t="s">
        <v>99</v>
      </c>
      <c r="D146" s="123" t="s">
        <v>262</v>
      </c>
      <c r="E146" s="386"/>
      <c r="F146" s="330"/>
      <c r="G146" s="34">
        <f t="shared" si="6"/>
        <v>93500</v>
      </c>
      <c r="H146" s="34"/>
      <c r="I146" s="34">
        <f t="shared" si="7"/>
        <v>93500</v>
      </c>
      <c r="J146" s="34">
        <v>93500</v>
      </c>
    </row>
    <row r="147" spans="1:10" ht="66" customHeight="1">
      <c r="A147" s="119" t="s">
        <v>263</v>
      </c>
      <c r="B147" s="119" t="s">
        <v>102</v>
      </c>
      <c r="C147" s="119" t="s">
        <v>103</v>
      </c>
      <c r="D147" s="123" t="s">
        <v>104</v>
      </c>
      <c r="E147" s="386"/>
      <c r="F147" s="330"/>
      <c r="G147" s="34">
        <f t="shared" si="6"/>
        <v>3214285</v>
      </c>
      <c r="H147" s="34">
        <f>1609406+225077+190000</f>
        <v>2024483</v>
      </c>
      <c r="I147" s="34">
        <f t="shared" si="7"/>
        <v>1189802</v>
      </c>
      <c r="J147" s="34">
        <v>1189802</v>
      </c>
    </row>
    <row r="148" spans="1:10" ht="39.75" customHeight="1">
      <c r="A148" s="119" t="s">
        <v>264</v>
      </c>
      <c r="B148" s="119" t="s">
        <v>109</v>
      </c>
      <c r="C148" s="119" t="s">
        <v>100</v>
      </c>
      <c r="D148" s="123" t="s">
        <v>110</v>
      </c>
      <c r="E148" s="387"/>
      <c r="F148" s="304"/>
      <c r="G148" s="34">
        <f t="shared" si="6"/>
        <v>3974</v>
      </c>
      <c r="H148" s="138">
        <v>3974</v>
      </c>
      <c r="I148" s="34"/>
      <c r="J148" s="138"/>
    </row>
    <row r="149" spans="1:10" ht="41.25" customHeight="1">
      <c r="A149" s="185" t="s">
        <v>265</v>
      </c>
      <c r="B149" s="185"/>
      <c r="C149" s="185"/>
      <c r="D149" s="186" t="s">
        <v>266</v>
      </c>
      <c r="E149" s="150"/>
      <c r="F149" s="125"/>
      <c r="G149" s="36">
        <f>G150</f>
        <v>67000</v>
      </c>
      <c r="H149" s="188">
        <f>H150</f>
        <v>67000</v>
      </c>
      <c r="I149" s="36"/>
      <c r="J149" s="188"/>
    </row>
    <row r="150" spans="1:10" ht="33.75" customHeight="1">
      <c r="A150" s="185" t="s">
        <v>267</v>
      </c>
      <c r="B150" s="185"/>
      <c r="C150" s="185"/>
      <c r="D150" s="186" t="s">
        <v>266</v>
      </c>
      <c r="E150" s="150"/>
      <c r="F150" s="125"/>
      <c r="G150" s="36">
        <f>H150+I150</f>
        <v>67000</v>
      </c>
      <c r="H150" s="188">
        <f>SUM(H151)</f>
        <v>67000</v>
      </c>
      <c r="I150" s="36"/>
      <c r="J150" s="188"/>
    </row>
    <row r="151" spans="1:10" ht="97.5" customHeight="1">
      <c r="A151" s="119" t="s">
        <v>268</v>
      </c>
      <c r="B151" s="119" t="s">
        <v>130</v>
      </c>
      <c r="C151" s="119" t="s">
        <v>35</v>
      </c>
      <c r="D151" s="123" t="s">
        <v>131</v>
      </c>
      <c r="E151" s="120" t="s">
        <v>406</v>
      </c>
      <c r="F151" s="115" t="s">
        <v>557</v>
      </c>
      <c r="G151" s="34">
        <f>H151+I151</f>
        <v>67000</v>
      </c>
      <c r="H151" s="138">
        <v>67000</v>
      </c>
      <c r="I151" s="34"/>
      <c r="J151" s="138"/>
    </row>
    <row r="152" spans="1:10" ht="35.25" customHeight="1">
      <c r="A152" s="185" t="s">
        <v>269</v>
      </c>
      <c r="B152" s="185"/>
      <c r="C152" s="185"/>
      <c r="D152" s="186" t="s">
        <v>270</v>
      </c>
      <c r="E152" s="187"/>
      <c r="F152" s="28"/>
      <c r="G152" s="36">
        <f>G153</f>
        <v>6009260</v>
      </c>
      <c r="H152" s="36">
        <f>H153</f>
        <v>1380198</v>
      </c>
      <c r="I152" s="36">
        <f>I153</f>
        <v>4629062</v>
      </c>
      <c r="J152" s="36">
        <f>J153</f>
        <v>4629062</v>
      </c>
    </row>
    <row r="153" spans="1:10" ht="37.5" customHeight="1">
      <c r="A153" s="117" t="s">
        <v>271</v>
      </c>
      <c r="B153" s="117"/>
      <c r="C153" s="117"/>
      <c r="D153" s="137" t="s">
        <v>270</v>
      </c>
      <c r="E153" s="139"/>
      <c r="F153" s="28"/>
      <c r="G153" s="36">
        <f>G154+G155+G156</f>
        <v>6009260</v>
      </c>
      <c r="H153" s="36">
        <f>H154+H155+H156</f>
        <v>1380198</v>
      </c>
      <c r="I153" s="36">
        <f>I154+I155+I156</f>
        <v>4629062</v>
      </c>
      <c r="J153" s="36">
        <f>J154+J155+J156</f>
        <v>4629062</v>
      </c>
    </row>
    <row r="154" spans="1:10" ht="102.75" customHeight="1">
      <c r="A154" s="115">
        <v>3718881</v>
      </c>
      <c r="B154" s="115">
        <v>8881</v>
      </c>
      <c r="C154" s="140" t="s">
        <v>100</v>
      </c>
      <c r="D154" s="123" t="s">
        <v>492</v>
      </c>
      <c r="E154" s="120" t="s">
        <v>440</v>
      </c>
      <c r="F154" s="115" t="s">
        <v>441</v>
      </c>
      <c r="G154" s="34">
        <f>H154+I154</f>
        <v>4629062</v>
      </c>
      <c r="H154" s="34"/>
      <c r="I154" s="34">
        <f>J154</f>
        <v>4629062</v>
      </c>
      <c r="J154" s="34">
        <f>4629062</f>
        <v>4629062</v>
      </c>
    </row>
    <row r="155" spans="1:10" ht="93">
      <c r="A155" s="119" t="s">
        <v>354</v>
      </c>
      <c r="B155" s="119" t="s">
        <v>355</v>
      </c>
      <c r="C155" s="119" t="s">
        <v>41</v>
      </c>
      <c r="D155" s="123" t="s">
        <v>335</v>
      </c>
      <c r="E155" s="357" t="s">
        <v>440</v>
      </c>
      <c r="F155" s="115" t="s">
        <v>441</v>
      </c>
      <c r="G155" s="34">
        <f>H155+I155</f>
        <v>202048</v>
      </c>
      <c r="H155" s="34">
        <v>202048</v>
      </c>
      <c r="I155" s="34"/>
      <c r="J155" s="34"/>
    </row>
    <row r="156" spans="1:10" ht="100.5" customHeight="1">
      <c r="A156" s="119" t="s">
        <v>358</v>
      </c>
      <c r="B156" s="119" t="s">
        <v>359</v>
      </c>
      <c r="C156" s="119" t="s">
        <v>41</v>
      </c>
      <c r="D156" s="123" t="s">
        <v>360</v>
      </c>
      <c r="E156" s="358"/>
      <c r="F156" s="115" t="s">
        <v>441</v>
      </c>
      <c r="G156" s="34">
        <f>H156+I156</f>
        <v>1178150</v>
      </c>
      <c r="H156" s="34">
        <f>15000+100000+190000+69650+48500+150000+200000+405000</f>
        <v>1178150</v>
      </c>
      <c r="I156" s="34"/>
      <c r="J156" s="34"/>
    </row>
    <row r="157" spans="1:10" ht="27.75" customHeight="1">
      <c r="A157" s="141" t="s">
        <v>24</v>
      </c>
      <c r="B157" s="141" t="s">
        <v>24</v>
      </c>
      <c r="C157" s="141" t="s">
        <v>24</v>
      </c>
      <c r="D157" s="141" t="s">
        <v>23</v>
      </c>
      <c r="E157" s="141"/>
      <c r="F157" s="142" t="s">
        <v>24</v>
      </c>
      <c r="G157" s="36">
        <f>G18+G68+G86+G102+G112+G125+G130+G136+G152+G149</f>
        <v>177112196</v>
      </c>
      <c r="H157" s="36">
        <f>H18+H68+H86+H102+H112+H125+H130+H136+H152+H149</f>
        <v>120976709</v>
      </c>
      <c r="I157" s="36">
        <f>I18+I68+I86+I102+I112+I125+I130+I136+I152+I149</f>
        <v>56135487</v>
      </c>
      <c r="J157" s="36">
        <f>J18+J68+J86+J102+J112+J125+J130+J136+J152+J149</f>
        <v>48497815</v>
      </c>
    </row>
    <row r="162" spans="3:13" ht="22.5">
      <c r="C162" s="10" t="s">
        <v>705</v>
      </c>
      <c r="D162" s="30"/>
      <c r="E162" s="30"/>
      <c r="F162" s="31"/>
      <c r="G162" s="31"/>
      <c r="H162" s="31"/>
      <c r="I162" s="10" t="s">
        <v>706</v>
      </c>
      <c r="J162" s="30"/>
      <c r="K162" s="143"/>
      <c r="M162"/>
    </row>
    <row r="163" spans="4:10" ht="18">
      <c r="D163" s="30"/>
      <c r="E163" s="30"/>
      <c r="F163" s="144"/>
      <c r="G163" s="30"/>
      <c r="H163" s="30"/>
      <c r="I163" s="30"/>
      <c r="J163" s="30"/>
    </row>
  </sheetData>
  <sheetProtection/>
  <mergeCells count="93">
    <mergeCell ref="E139:E142"/>
    <mergeCell ref="F139:F142"/>
    <mergeCell ref="E143:E148"/>
    <mergeCell ref="F143:F148"/>
    <mergeCell ref="E104:E106"/>
    <mergeCell ref="F104:F106"/>
    <mergeCell ref="E109:E111"/>
    <mergeCell ref="F109:F111"/>
    <mergeCell ref="A55:A56"/>
    <mergeCell ref="B55:B56"/>
    <mergeCell ref="C55:C56"/>
    <mergeCell ref="D55:D56"/>
    <mergeCell ref="A58:A63"/>
    <mergeCell ref="B58:B63"/>
    <mergeCell ref="C58:C63"/>
    <mergeCell ref="D58:D63"/>
    <mergeCell ref="A6:J6"/>
    <mergeCell ref="A10:A16"/>
    <mergeCell ref="B10:B16"/>
    <mergeCell ref="C10:C16"/>
    <mergeCell ref="D10:D16"/>
    <mergeCell ref="E10:E16"/>
    <mergeCell ref="F10:F16"/>
    <mergeCell ref="G10:G16"/>
    <mergeCell ref="H10:H16"/>
    <mergeCell ref="I10:J14"/>
    <mergeCell ref="I15:I16"/>
    <mergeCell ref="J15:J16"/>
    <mergeCell ref="A22:A23"/>
    <mergeCell ref="B22:B23"/>
    <mergeCell ref="C22:C23"/>
    <mergeCell ref="D22:D23"/>
    <mergeCell ref="A25:A30"/>
    <mergeCell ref="B25:B30"/>
    <mergeCell ref="C25:C30"/>
    <mergeCell ref="D25:D30"/>
    <mergeCell ref="A41:A42"/>
    <mergeCell ref="B41:B42"/>
    <mergeCell ref="C41:C42"/>
    <mergeCell ref="D41:D42"/>
    <mergeCell ref="A44:A45"/>
    <mergeCell ref="B44:B45"/>
    <mergeCell ref="C44:C45"/>
    <mergeCell ref="D44:D45"/>
    <mergeCell ref="C73:C75"/>
    <mergeCell ref="D73:D75"/>
    <mergeCell ref="A49:A50"/>
    <mergeCell ref="B49:B50"/>
    <mergeCell ref="C49:C50"/>
    <mergeCell ref="D49:D50"/>
    <mergeCell ref="A71:A72"/>
    <mergeCell ref="B71:B72"/>
    <mergeCell ref="C71:C72"/>
    <mergeCell ref="D71:D72"/>
    <mergeCell ref="A73:A75"/>
    <mergeCell ref="B73:B75"/>
    <mergeCell ref="E88:E91"/>
    <mergeCell ref="F88:F91"/>
    <mergeCell ref="E92:E93"/>
    <mergeCell ref="F92:F93"/>
    <mergeCell ref="D76:D77"/>
    <mergeCell ref="E94:E97"/>
    <mergeCell ref="F94:F97"/>
    <mergeCell ref="D82:D83"/>
    <mergeCell ref="E99:E100"/>
    <mergeCell ref="F99:F100"/>
    <mergeCell ref="D132:D133"/>
    <mergeCell ref="A107:A108"/>
    <mergeCell ref="B107:B108"/>
    <mergeCell ref="C107:C108"/>
    <mergeCell ref="D107:D108"/>
    <mergeCell ref="A117:A118"/>
    <mergeCell ref="D120:D121"/>
    <mergeCell ref="A132:A133"/>
    <mergeCell ref="C76:C77"/>
    <mergeCell ref="B117:B118"/>
    <mergeCell ref="C117:C118"/>
    <mergeCell ref="A120:A121"/>
    <mergeCell ref="B120:B121"/>
    <mergeCell ref="C120:C121"/>
    <mergeCell ref="A82:A83"/>
    <mergeCell ref="B82:B83"/>
    <mergeCell ref="C82:C83"/>
    <mergeCell ref="E155:E156"/>
    <mergeCell ref="B132:B133"/>
    <mergeCell ref="C132:C133"/>
    <mergeCell ref="A46:A48"/>
    <mergeCell ref="B46:B48"/>
    <mergeCell ref="C46:C48"/>
    <mergeCell ref="D46:D48"/>
    <mergeCell ref="D117:D118"/>
    <mergeCell ref="A76:A77"/>
    <mergeCell ref="B76:B7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vd-zag1</cp:lastModifiedBy>
  <cp:lastPrinted>2020-06-16T12:42:36Z</cp:lastPrinted>
  <dcterms:created xsi:type="dcterms:W3CDTF">2019-10-18T11:31:34Z</dcterms:created>
  <dcterms:modified xsi:type="dcterms:W3CDTF">2020-06-17T11:01:50Z</dcterms:modified>
  <cp:category/>
  <cp:version/>
  <cp:contentType/>
  <cp:contentStatus/>
</cp:coreProperties>
</file>