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80" activeTab="0"/>
  </bookViews>
  <sheets>
    <sheet name="додаток1" sheetId="1" r:id="rId1"/>
    <sheet name="додаток2" sheetId="2" r:id="rId2"/>
    <sheet name="додаток3" sheetId="3" r:id="rId3"/>
    <sheet name="додаток 4 " sheetId="4" r:id="rId4"/>
    <sheet name="додаток 5" sheetId="5" r:id="rId5"/>
  </sheets>
  <externalReferences>
    <externalReference r:id="rId8"/>
  </externalReferences>
  <definedNames>
    <definedName name="_xlnm.Print_Titles" localSheetId="3">'додаток 4 '!$11:$16</definedName>
    <definedName name="_xlnm.Print_Titles" localSheetId="4">'додаток 5'!$9:$17</definedName>
    <definedName name="_xlnm.Print_Titles" localSheetId="0">'додаток1'!$11:$15</definedName>
    <definedName name="_xlnm.Print_Titles" localSheetId="2">'додаток3'!$12:$16</definedName>
    <definedName name="_xlnm.Print_Area" localSheetId="0">'додаток1'!$A$1:$F$122</definedName>
  </definedNames>
  <calcPr fullCalcOnLoad="1"/>
</workbook>
</file>

<file path=xl/sharedStrings.xml><?xml version="1.0" encoding="utf-8"?>
<sst xmlns="http://schemas.openxmlformats.org/spreadsheetml/2006/main" count="1465" uniqueCount="667">
  <si>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</si>
  <si>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</si>
  <si>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</si>
  <si>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</si>
  <si>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</si>
  <si>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</si>
  <si>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</si>
  <si>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</si>
  <si>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</si>
  <si>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</si>
  <si>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</si>
  <si>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</si>
  <si>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</si>
  <si>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</si>
  <si>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</si>
  <si>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</si>
  <si>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</si>
  <si>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</si>
  <si>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</si>
  <si>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</si>
  <si>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</si>
  <si>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</si>
  <si>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</si>
  <si>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</si>
  <si>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</si>
  <si>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</si>
  <si>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</si>
  <si>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</si>
  <si>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</si>
  <si>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</si>
  <si>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</si>
  <si>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</si>
  <si>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</si>
  <si>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</si>
  <si>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</si>
  <si>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</si>
  <si>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</si>
  <si>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</si>
  <si>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</si>
  <si>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</si>
  <si>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</si>
  <si>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</si>
  <si>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</si>
  <si>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</si>
  <si>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</si>
  <si>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</si>
  <si>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</si>
  <si>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</si>
  <si>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</si>
  <si>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</si>
  <si>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</si>
  <si>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</si>
  <si>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</si>
  <si>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</si>
  <si>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</si>
  <si>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</si>
  <si>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</si>
  <si>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</si>
  <si>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</si>
  <si>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</si>
  <si>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</si>
  <si>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</si>
  <si>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</si>
  <si>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</si>
  <si>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</si>
  <si>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</si>
  <si>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</si>
  <si>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</si>
  <si>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</si>
  <si>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</si>
  <si>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</si>
  <si>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</si>
  <si>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</si>
  <si>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</si>
  <si>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</si>
  <si>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</si>
  <si>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</si>
  <si>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</si>
  <si>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</si>
  <si>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</si>
  <si>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</si>
  <si>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</si>
  <si>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</si>
  <si>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</si>
  <si>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</si>
  <si>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</si>
  <si>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</si>
  <si>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</si>
  <si>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</si>
  <si>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</si>
  <si>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</si>
  <si>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</si>
  <si>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</si>
  <si>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</si>
  <si>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</si>
  <si>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</si>
  <si>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</si>
  <si>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</si>
  <si>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</si>
  <si>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</si>
  <si>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</si>
  <si>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</si>
  <si>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</si>
  <si>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</si>
  <si>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</si>
  <si>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</si>
  <si>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</si>
  <si>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</si>
  <si>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</si>
  <si>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</si>
  <si>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</si>
  <si>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</si>
  <si>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</si>
  <si>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</si>
  <si>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</si>
  <si>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</si>
  <si>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</si>
  <si>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</si>
  <si>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</si>
  <si>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</si>
  <si>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</si>
  <si>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</si>
  <si>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</si>
  <si>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</si>
  <si>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</si>
  <si>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</si>
  <si>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</si>
  <si>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</si>
  <si>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</si>
  <si>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</si>
  <si>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</si>
  <si>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</si>
  <si>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</si>
  <si>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</si>
  <si>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</si>
  <si>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</si>
  <si>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</si>
  <si>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</si>
  <si>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</si>
  <si>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</si>
  <si>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</si>
  <si>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</si>
  <si>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</si>
  <si>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</si>
  <si>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</si>
  <si>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</si>
  <si>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</si>
  <si>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</si>
  <si>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</si>
  <si>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</si>
  <si>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</si>
  <si>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</si>
  <si>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</si>
  <si>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</si>
  <si>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</si>
  <si>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</si>
  <si>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</si>
  <si>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</si>
  <si>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</si>
  <si>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</si>
  <si>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</si>
  <si>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</si>
  <si>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</si>
  <si>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</si>
  <si>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</si>
  <si>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</si>
  <si>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</si>
  <si>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</si>
  <si>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</si>
  <si>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</si>
  <si>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</si>
  <si>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</si>
  <si>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</si>
  <si>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</si>
  <si>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</si>
  <si>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</si>
  <si>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</si>
  <si>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</si>
  <si>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</si>
  <si>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</si>
  <si>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</si>
  <si>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</si>
  <si>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</si>
  <si>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</si>
  <si>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</si>
  <si>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</si>
  <si>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</si>
  <si>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</si>
  <si>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</si>
  <si>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</si>
  <si>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</si>
  <si>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</si>
  <si>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</si>
  <si>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</si>
  <si>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</si>
  <si>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</si>
  <si>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</si>
  <si>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</si>
  <si>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</si>
  <si>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</si>
  <si>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</si>
  <si>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</si>
  <si>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</si>
  <si>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</si>
  <si>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</si>
  <si>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</si>
  <si>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</si>
  <si>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</si>
  <si>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</si>
  <si>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</si>
  <si>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</si>
  <si>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</si>
  <si>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</si>
  <si>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</si>
  <si>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</si>
  <si>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</si>
  <si>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</si>
  <si>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</si>
  <si>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</si>
  <si>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</si>
  <si>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</si>
  <si>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</si>
  <si>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</si>
  <si>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</si>
  <si>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</si>
  <si>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</si>
  <si>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організацй, які здійснюють 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</si>
  <si>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</si>
  <si>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</si>
  <si>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</si>
  <si>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</si>
  <si>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</si>
  <si>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</si>
  <si>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</si>
  <si>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</si>
  <si>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</si>
  <si>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</si>
  <si>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</si>
  <si>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</si>
  <si>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</si>
  <si>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</si>
  <si>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</si>
  <si>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</si>
  <si>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</si>
  <si>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</si>
  <si>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</si>
  <si>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</si>
  <si>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</si>
  <si>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</si>
  <si>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</si>
  <si>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</si>
  <si>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</si>
  <si>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</si>
  <si>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</si>
  <si>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</si>
  <si>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</si>
  <si>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</si>
  <si>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</si>
  <si>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</si>
  <si>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</si>
  <si>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</si>
  <si>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</si>
  <si>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</si>
  <si>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</si>
  <si>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</si>
  <si>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</si>
  <si>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</si>
  <si>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</si>
  <si>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</si>
  <si>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</si>
  <si>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</si>
  <si>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</si>
  <si>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</si>
  <si>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</si>
  <si>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</si>
  <si>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</si>
  <si>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</si>
  <si>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</si>
  <si>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</si>
  <si>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</si>
  <si>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</si>
  <si>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</si>
  <si>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</si>
  <si>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</si>
  <si>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</si>
  <si>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</si>
  <si>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</si>
  <si>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</si>
  <si>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</si>
  <si>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</si>
  <si>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</si>
  <si>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</si>
  <si>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</si>
  <si>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</si>
  <si>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</si>
  <si>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</si>
  <si>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</si>
  <si>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</si>
  <si>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</si>
  <si>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</si>
  <si>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</si>
  <si>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</si>
  <si>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</si>
  <si>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</si>
  <si>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</si>
  <si>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</si>
  <si>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</si>
  <si>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</si>
  <si>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</si>
  <si>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</si>
  <si>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</si>
  <si>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</si>
  <si>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</si>
  <si>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</si>
  <si>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</si>
  <si>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</si>
  <si>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</si>
  <si>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</si>
  <si>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</si>
  <si>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</si>
  <si>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</si>
  <si>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</si>
  <si>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</si>
  <si>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</si>
  <si>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</si>
  <si>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</si>
  <si>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</si>
  <si>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</si>
  <si>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</si>
  <si>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</si>
  <si>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</si>
  <si>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</si>
  <si>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</si>
  <si>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</si>
  <si>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</si>
  <si>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</si>
  <si>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</si>
  <si>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</si>
  <si>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</si>
  <si>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</si>
  <si>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</si>
  <si>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</si>
  <si>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</si>
  <si>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</si>
  <si>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</si>
  <si>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</si>
  <si>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</si>
  <si>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</si>
  <si>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</si>
  <si>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</si>
  <si>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</si>
  <si>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</si>
  <si>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</si>
  <si>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</si>
  <si>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</si>
  <si>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</si>
  <si>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</si>
  <si>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</si>
  <si>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</si>
  <si>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</si>
  <si>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</si>
  <si>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</si>
  <si>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</si>
  <si>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</si>
  <si>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</si>
  <si>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</si>
  <si>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</si>
  <si>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</si>
  <si>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</si>
  <si>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</si>
  <si>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</si>
  <si>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</si>
  <si>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</si>
  <si>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</si>
  <si>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</si>
  <si>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</si>
  <si>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</si>
  <si>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</si>
  <si>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</si>
  <si>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</si>
  <si>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</si>
  <si>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</si>
  <si>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</si>
  <si>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</si>
  <si>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</si>
  <si>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</si>
  <si>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</si>
  <si>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</si>
  <si>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</si>
  <si>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</si>
  <si>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</si>
  <si>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</si>
  <si>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</si>
  <si>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</si>
  <si>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</si>
  <si>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</si>
  <si>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</si>
  <si>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</si>
  <si>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</si>
  <si>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</si>
  <si>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Доходи бюджету Новокаховської міської об"єднаної територіальної громади                                                                                             на  2020 рік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</si>
  <si>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</si>
  <si>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</si>
  <si>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</si>
  <si>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</si>
  <si>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</si>
  <si>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</si>
  <si>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</si>
  <si>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</si>
  <si>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</si>
  <si>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</si>
  <si>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</si>
  <si>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</si>
  <si>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</si>
  <si>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</si>
  <si>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</si>
  <si>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</si>
  <si>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</si>
  <si>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</si>
  <si>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</si>
  <si>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</si>
  <si>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</si>
  <si>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</si>
  <si>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</si>
  <si>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</si>
  <si>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</si>
  <si>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</si>
  <si>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</si>
  <si>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</si>
  <si>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</si>
  <si>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</si>
  <si>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</si>
  <si>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</si>
  <si>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</si>
  <si>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</si>
  <si>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</si>
  <si>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</si>
  <si>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</si>
  <si>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</si>
  <si>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</si>
  <si>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</si>
  <si>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</si>
  <si>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</si>
  <si>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</si>
  <si>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</si>
  <si>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</si>
  <si>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</si>
  <si>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</si>
  <si>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</si>
  <si>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</si>
  <si>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</si>
  <si>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</si>
  <si>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</si>
  <si>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</si>
  <si>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</si>
  <si>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</si>
  <si>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</si>
  <si>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</si>
  <si>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</si>
  <si>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</si>
  <si>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Державне мито, пов'язане з видачею та оформленням закордонних паспортів (посвідок) та паспортів громадян України 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</si>
  <si>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</si>
  <si>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</si>
  <si>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</si>
  <si>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</si>
  <si>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</si>
  <si>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</si>
  <si>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Плата за гарантії, надані Верховною Радою Автономної Республіки Крим та міськими радами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</si>
  <si>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</si>
  <si>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</si>
  <si>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</si>
  <si>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</si>
  <si>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</si>
  <si>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Надходження бюджетних установ від реалізації в установленому порядку майна (крім нерухомого майна) 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</si>
  <si>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</si>
  <si>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</si>
  <si>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</si>
  <si>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</si>
  <si>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</si>
  <si>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</si>
  <si>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</si>
  <si>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</si>
  <si>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</si>
  <si>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</si>
  <si>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</si>
  <si>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</si>
  <si>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</si>
  <si>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</si>
  <si>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</si>
  <si>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</si>
  <si>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</si>
  <si>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</si>
  <si>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</si>
  <si>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</si>
  <si>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</si>
  <si>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Інші субвенції з місцевого бюджету                                            </t>
  </si>
  <si>
    <t>×</t>
  </si>
  <si>
    <t>Разом доходів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</si>
  <si>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</si>
  <si>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</si>
  <si>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</si>
  <si>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</si>
  <si>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</si>
  <si>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>Рішення Новокаховської міської ради від 24.12.2019 р. № 2567 (зі змінами)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</si>
  <si>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</si>
  <si>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</si>
  <si>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</si>
  <si>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</si>
  <si>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</si>
  <si>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</si>
  <si>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</si>
  <si>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</si>
  <si>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</si>
  <si>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Програма забезпечення виконання військового 
обов’язку громадянами Новокаховської
об’єднаної територіальної громади на 2020-2021 роки</t>
  </si>
  <si>
    <t>Рішення Новокаховської міської ради від 13.02.2020  р.        № 2593</t>
  </si>
  <si>
    <t>Програма місцевих стимулів для лікуючих 
лікарів на території Новокаховської  міської ради на 2018-2022 роки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</si>
  <si>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</si>
  <si>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</si>
  <si>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</si>
  <si>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</si>
  <si>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</si>
  <si>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</si>
  <si>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>Програми щодо організації та проведення оплачуваних громадських робіт для безробітних громадян у Новокаховській ОТГ на 2020 рік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</si>
  <si>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</si>
  <si>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</si>
  <si>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</si>
  <si>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</si>
  <si>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</si>
  <si>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</si>
  <si>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</si>
  <si>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</si>
  <si>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</si>
  <si>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</si>
  <si>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</si>
  <si>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</si>
  <si>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</si>
  <si>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</si>
  <si>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</si>
  <si>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</si>
  <si>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</si>
  <si>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Рішення Новокаховської міської ради від 20.12.2018 р. № 1643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</si>
  <si>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</si>
  <si>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</si>
  <si>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</si>
  <si>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</si>
  <si>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</si>
  <si>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</si>
  <si>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</si>
  <si>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</si>
  <si>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</si>
  <si>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</si>
  <si>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</si>
  <si>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</si>
  <si>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</si>
  <si>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</si>
  <si>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</si>
  <si>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</si>
  <si>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</si>
  <si>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</si>
  <si>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</si>
  <si>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>Програма соціальної підтримки сім"ї на 2020 -2022 роки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</si>
  <si>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</si>
  <si>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</si>
  <si>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</si>
  <si>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</si>
  <si>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</si>
  <si>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</si>
  <si>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</si>
  <si>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</si>
  <si>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</si>
  <si>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</si>
  <si>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</si>
  <si>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</si>
  <si>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</si>
  <si>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</si>
  <si>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</si>
  <si>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</si>
  <si>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</si>
  <si>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</si>
  <si>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</si>
  <si>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Рішення Новокаховської міської ради  від 12.12.2019 р.        № 2463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</si>
  <si>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</si>
  <si>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</si>
  <si>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</si>
  <si>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</si>
  <si>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</si>
  <si>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</si>
  <si>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</si>
  <si>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</si>
  <si>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</si>
  <si>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Додаток 5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</si>
  <si>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</si>
  <si>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</si>
  <si>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</si>
  <si>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</si>
  <si>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Додаток 4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</si>
  <si>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</si>
  <si>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</si>
  <si>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</si>
  <si>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</si>
  <si>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</si>
  <si>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</si>
  <si>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</si>
  <si>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</si>
  <si>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</si>
  <si>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</si>
  <si>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</si>
  <si>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</si>
  <si>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</si>
  <si>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</si>
  <si>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</si>
  <si>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</si>
  <si>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</si>
  <si>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</si>
  <si>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</si>
  <si>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</si>
  <si>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</si>
  <si>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</si>
  <si>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</si>
  <si>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</si>
  <si>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</si>
  <si>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</si>
  <si>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</si>
  <si>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</si>
  <si>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</si>
  <si>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</si>
  <si>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</si>
  <si>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</si>
  <si>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</si>
  <si>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</si>
  <si>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</si>
  <si>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</si>
  <si>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</si>
  <si>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</si>
  <si>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</si>
  <si>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</si>
  <si>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</si>
  <si>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</si>
  <si>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</si>
  <si>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</si>
  <si>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</si>
  <si>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</si>
  <si>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</si>
  <si>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</si>
  <si>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</si>
  <si>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</si>
  <si>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 від 13.02.2020 р.        №2593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</si>
  <si>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</si>
  <si>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</si>
  <si>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</si>
  <si>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</si>
  <si>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ріди від 20.12.2018 р.          № 1644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</si>
  <si>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</si>
  <si>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</si>
  <si>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</si>
  <si>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</si>
  <si>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</si>
  <si>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</si>
  <si>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</si>
  <si>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</si>
  <si>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 xml:space="preserve">до рішення </t>
  </si>
  <si>
    <t>виконавчого комітету</t>
  </si>
  <si>
    <t>Перший заступник міського голови</t>
  </si>
  <si>
    <t xml:space="preserve">                        Л.Г. Чурсинов</t>
  </si>
  <si>
    <t xml:space="preserve">до рішення  </t>
  </si>
  <si>
    <t>від  07.04.2020 року № 138</t>
  </si>
  <si>
    <t>від 07.04.2020 року № 138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</si>
</sst>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0.00000"/>
    <numFmt numFmtId="197" formatCode="0.0000"/>
    <numFmt numFmtId="198" formatCode="0.000"/>
    <numFmt numFmtId="199" formatCode="#,##0_ ;\-#,##0\ "/>
    <numFmt numFmtId="200" formatCode="_-* #,##0.0\ _г_р_н_._-;\-* #,##0.0\ _г_р_н_._-;_-* &quot;-&quot;\ _г_р_н_._-;_-@_-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9"/>
      <color rgb="FFFF0000"/>
      <name val="Times New Roman"/>
      <family val="1"/>
    </font>
    <font>
      <sz val="19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>
      <alignment vertical="top"/>
      <protection/>
    </xf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79" fontId="2" fillId="0" borderId="12" xfId="66" applyNumberFormat="1" applyFont="1" applyBorder="1" applyAlignment="1">
      <alignment horizontal="center" vertical="center" wrapText="1"/>
    </xf>
    <xf numFmtId="179" fontId="2" fillId="0" borderId="12" xfId="66" applyNumberFormat="1" applyFont="1" applyFill="1" applyBorder="1" applyAlignment="1">
      <alignment horizontal="center" vertical="center" wrapText="1"/>
    </xf>
    <xf numFmtId="179" fontId="4" fillId="0" borderId="12" xfId="66" applyNumberFormat="1" applyFont="1" applyBorder="1" applyAlignment="1">
      <alignment horizontal="center" vertical="center" wrapText="1"/>
    </xf>
    <xf numFmtId="179" fontId="2" fillId="0" borderId="13" xfId="66" applyNumberFormat="1" applyFont="1" applyFill="1" applyBorder="1" applyAlignment="1" applyProtection="1">
      <alignment horizontal="center" vertical="center"/>
      <protection/>
    </xf>
    <xf numFmtId="179" fontId="2" fillId="0" borderId="12" xfId="66" applyNumberFormat="1" applyFont="1" applyFill="1" applyBorder="1" applyAlignment="1" applyProtection="1">
      <alignment horizontal="center" vertical="center"/>
      <protection/>
    </xf>
    <xf numFmtId="179" fontId="4" fillId="0" borderId="12" xfId="66" applyNumberFormat="1" applyFont="1" applyFill="1" applyBorder="1" applyAlignment="1" applyProtection="1">
      <alignment horizontal="center" vertical="center"/>
      <protection/>
    </xf>
    <xf numFmtId="179" fontId="8" fillId="0" borderId="12" xfId="66" applyNumberFormat="1" applyFont="1" applyBorder="1" applyAlignment="1">
      <alignment horizontal="center" vertical="center"/>
    </xf>
    <xf numFmtId="179" fontId="9" fillId="0" borderId="12" xfId="66" applyNumberFormat="1" applyFont="1" applyBorder="1" applyAlignment="1">
      <alignment horizontal="center" vertical="center"/>
    </xf>
    <xf numFmtId="179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9" fontId="16" fillId="0" borderId="0" xfId="66" applyNumberFormat="1" applyFont="1" applyBorder="1" applyAlignment="1">
      <alignment vertical="center"/>
    </xf>
    <xf numFmtId="179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199" fontId="15" fillId="0" borderId="13" xfId="66" applyNumberFormat="1" applyFont="1" applyBorder="1" applyAlignment="1">
      <alignment vertical="center" wrapText="1"/>
    </xf>
    <xf numFmtId="199" fontId="15" fillId="0" borderId="12" xfId="66" applyNumberFormat="1" applyFont="1" applyBorder="1" applyAlignment="1">
      <alignment vertical="center" wrapText="1"/>
    </xf>
    <xf numFmtId="199" fontId="16" fillId="0" borderId="12" xfId="66" applyNumberFormat="1" applyFont="1" applyBorder="1" applyAlignment="1">
      <alignment vertical="center"/>
    </xf>
    <xf numFmtId="199" fontId="16" fillId="0" borderId="12" xfId="66" applyNumberFormat="1" applyFont="1" applyBorder="1" applyAlignment="1">
      <alignment vertical="center" wrapText="1"/>
    </xf>
    <xf numFmtId="199" fontId="16" fillId="0" borderId="16" xfId="66" applyNumberFormat="1" applyFont="1" applyBorder="1" applyAlignment="1">
      <alignment vertical="center" wrapText="1"/>
    </xf>
    <xf numFmtId="199" fontId="16" fillId="0" borderId="16" xfId="66" applyNumberFormat="1" applyFont="1" applyBorder="1" applyAlignment="1">
      <alignment vertical="center"/>
    </xf>
    <xf numFmtId="199" fontId="15" fillId="0" borderId="13" xfId="66" applyNumberFormat="1" applyFont="1" applyBorder="1" applyAlignment="1">
      <alignment vertical="center"/>
    </xf>
    <xf numFmtId="199" fontId="16" fillId="0" borderId="12" xfId="0" applyNumberFormat="1" applyFont="1" applyBorder="1" applyAlignment="1">
      <alignment/>
    </xf>
    <xf numFmtId="199" fontId="16" fillId="0" borderId="17" xfId="66" applyNumberFormat="1" applyFont="1" applyBorder="1" applyAlignment="1">
      <alignment vertical="center"/>
    </xf>
    <xf numFmtId="199" fontId="16" fillId="0" borderId="17" xfId="66" applyNumberFormat="1" applyFont="1" applyBorder="1" applyAlignment="1">
      <alignment vertical="center" wrapText="1"/>
    </xf>
    <xf numFmtId="199" fontId="15" fillId="0" borderId="12" xfId="66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99" fontId="67" fillId="0" borderId="12" xfId="66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6" fillId="0" borderId="12" xfId="0" applyNumberFormat="1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wrapText="1"/>
    </xf>
    <xf numFmtId="179" fontId="7" fillId="0" borderId="0" xfId="66" applyNumberFormat="1" applyFont="1" applyBorder="1" applyAlignment="1">
      <alignment vertical="center"/>
    </xf>
    <xf numFmtId="199" fontId="16" fillId="0" borderId="12" xfId="66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Alignment="1">
      <alignment/>
    </xf>
    <xf numFmtId="0" fontId="2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79" fontId="5" fillId="0" borderId="12" xfId="66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94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94" fontId="2" fillId="0" borderId="12" xfId="0" applyNumberFormat="1" applyFont="1" applyFill="1" applyBorder="1" applyAlignment="1">
      <alignment vertical="center" wrapText="1"/>
    </xf>
    <xf numFmtId="194" fontId="2" fillId="0" borderId="12" xfId="0" applyNumberFormat="1" applyFont="1" applyFill="1" applyBorder="1" applyAlignment="1">
      <alignment horizontal="left" vertical="center" wrapText="1"/>
    </xf>
    <xf numFmtId="194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79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69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95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195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194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79" fontId="4" fillId="0" borderId="12" xfId="66" applyNumberFormat="1" applyFont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 wrapText="1"/>
    </xf>
    <xf numFmtId="199" fontId="16" fillId="0" borderId="24" xfId="66" applyNumberFormat="1" applyFont="1" applyBorder="1" applyAlignment="1">
      <alignment vertical="center"/>
    </xf>
    <xf numFmtId="199" fontId="16" fillId="0" borderId="24" xfId="66" applyNumberFormat="1" applyFont="1" applyBorder="1" applyAlignment="1">
      <alignment vertical="center" wrapText="1"/>
    </xf>
    <xf numFmtId="0" fontId="16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4" fillId="0" borderId="18" xfId="58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/>
    </xf>
    <xf numFmtId="0" fontId="6" fillId="0" borderId="3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2" fillId="0" borderId="0" xfId="0" applyFont="1" applyAlignment="1">
      <alignment horizont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wrapText="1"/>
    </xf>
    <xf numFmtId="0" fontId="0" fillId="0" borderId="13" xfId="0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194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/>
    </xf>
    <xf numFmtId="194" fontId="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" fillId="0" borderId="17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2;&#1080;&#1088;&#1086;&#1073;&#1085;&#1080;&#1095;&#1072;%20&#1089;&#1092;&#1077;&#1088;&#1072;(2020)\&#1057;&#1045;&#1057;&#1048;&#1071;%20%2003%202020\&#1044;&#1086;&#1076;&#1072;&#1090;&#1082;&#1080;%20&#1076;&#1086;%20&#1088;&#1080;&#1096;&#1077;&#1085;&#1085;&#1103;%201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2"/>
      <sheetName val="додаток3"/>
      <sheetName val="додаток 4"/>
      <sheetName val="додаток 5"/>
      <sheetName val="додаток 6"/>
    </sheetNames>
    <sheetDataSet>
      <sheetData sheetId="3">
        <row r="20">
          <cell r="M20">
            <v>5750457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19.875" style="0" customWidth="1"/>
    <col min="2" max="2" width="41.50390625" style="0" customWidth="1"/>
    <col min="3" max="3" width="21.375" style="0" customWidth="1"/>
    <col min="4" max="4" width="21.625" style="0" customWidth="1"/>
    <col min="5" max="5" width="20.00390625" style="0" customWidth="1"/>
    <col min="6" max="6" width="18.125" style="0" customWidth="1"/>
    <col min="8" max="8" width="16.375" style="0" bestFit="1" customWidth="1"/>
  </cols>
  <sheetData>
    <row r="1" spans="1:6" ht="18">
      <c r="A1" s="219"/>
      <c r="B1" s="114"/>
      <c r="E1" s="115" t="s">
        <v>4</v>
      </c>
      <c r="F1" s="30"/>
    </row>
    <row r="2" spans="1:6" ht="19.5" customHeight="1">
      <c r="A2" s="219"/>
      <c r="B2" s="114"/>
      <c r="D2" s="116"/>
      <c r="E2" s="46" t="s">
        <v>660</v>
      </c>
      <c r="F2" s="46"/>
    </row>
    <row r="3" spans="1:6" ht="18">
      <c r="A3" s="219"/>
      <c r="B3" s="114"/>
      <c r="D3" s="116"/>
      <c r="E3" s="30" t="s">
        <v>661</v>
      </c>
      <c r="F3" s="30"/>
    </row>
    <row r="4" spans="1:6" ht="18">
      <c r="A4" s="219"/>
      <c r="B4" s="114"/>
      <c r="D4" s="116"/>
      <c r="E4" s="30" t="s">
        <v>666</v>
      </c>
      <c r="F4" s="30"/>
    </row>
    <row r="5" spans="1:6" ht="13.5">
      <c r="A5" s="219"/>
      <c r="B5" s="114"/>
      <c r="D5" s="220"/>
      <c r="E5" s="220"/>
      <c r="F5" s="220"/>
    </row>
    <row r="6" spans="1:6" ht="13.5">
      <c r="A6" s="219"/>
      <c r="B6" s="114"/>
      <c r="D6" s="117"/>
      <c r="E6" s="117"/>
      <c r="F6" s="4"/>
    </row>
    <row r="7" ht="12.75">
      <c r="A7" s="5"/>
    </row>
    <row r="8" spans="2:6" ht="45" customHeight="1">
      <c r="B8" s="221" t="s">
        <v>400</v>
      </c>
      <c r="C8" s="222"/>
      <c r="D8" s="222"/>
      <c r="E8" s="222"/>
      <c r="F8" s="118"/>
    </row>
    <row r="9" spans="1:6" ht="18">
      <c r="A9" s="119">
        <v>21528000000</v>
      </c>
      <c r="B9" s="120"/>
      <c r="C9" s="120"/>
      <c r="D9" s="120"/>
      <c r="E9" s="120"/>
      <c r="F9" s="120"/>
    </row>
    <row r="10" ht="12.75">
      <c r="A10" s="121" t="s">
        <v>25</v>
      </c>
    </row>
    <row r="11" ht="15">
      <c r="F11" s="122" t="s">
        <v>5</v>
      </c>
    </row>
    <row r="12" ht="15">
      <c r="F12" s="122"/>
    </row>
    <row r="13" spans="1:6" ht="15">
      <c r="A13" s="223" t="s">
        <v>6</v>
      </c>
      <c r="B13" s="223" t="s">
        <v>401</v>
      </c>
      <c r="C13" s="223" t="s">
        <v>7</v>
      </c>
      <c r="D13" s="223" t="s">
        <v>8</v>
      </c>
      <c r="E13" s="223" t="s">
        <v>9</v>
      </c>
      <c r="F13" s="223"/>
    </row>
    <row r="14" spans="1:6" ht="30.75">
      <c r="A14" s="223"/>
      <c r="B14" s="223"/>
      <c r="C14" s="223"/>
      <c r="D14" s="223"/>
      <c r="E14" s="26" t="s">
        <v>10</v>
      </c>
      <c r="F14" s="26" t="s">
        <v>11</v>
      </c>
    </row>
    <row r="15" spans="1:6" ht="12.75">
      <c r="A15" s="123">
        <v>1</v>
      </c>
      <c r="B15" s="123">
        <v>2</v>
      </c>
      <c r="C15" s="123">
        <v>3</v>
      </c>
      <c r="D15" s="123">
        <v>4</v>
      </c>
      <c r="E15" s="123">
        <v>5</v>
      </c>
      <c r="F15" s="123">
        <v>6</v>
      </c>
    </row>
    <row r="16" spans="1:6" ht="15">
      <c r="A16" s="26">
        <v>10000000</v>
      </c>
      <c r="B16" s="124" t="s">
        <v>402</v>
      </c>
      <c r="C16" s="34">
        <f>D16+E16</f>
        <v>354309587</v>
      </c>
      <c r="D16" s="34">
        <f>D17+D25+D28+D34+D53</f>
        <v>354149587</v>
      </c>
      <c r="E16" s="34">
        <f>E17+E25+E28+E34+E53</f>
        <v>160000</v>
      </c>
      <c r="F16" s="34"/>
    </row>
    <row r="17" spans="1:8" ht="46.5">
      <c r="A17" s="125">
        <v>11000000</v>
      </c>
      <c r="B17" s="126" t="s">
        <v>403</v>
      </c>
      <c r="C17" s="34">
        <f aca="true" t="shared" si="0" ref="C17:C90">D17+E17</f>
        <v>225796387</v>
      </c>
      <c r="D17" s="34">
        <f>D18+D23</f>
        <v>225796387</v>
      </c>
      <c r="E17" s="34"/>
      <c r="F17" s="34"/>
      <c r="H17" s="127"/>
    </row>
    <row r="18" spans="1:6" ht="15">
      <c r="A18" s="125">
        <v>11010000</v>
      </c>
      <c r="B18" s="126" t="s">
        <v>404</v>
      </c>
      <c r="C18" s="34">
        <f t="shared" si="0"/>
        <v>225788387</v>
      </c>
      <c r="D18" s="34">
        <f>SUM(D19:D22)</f>
        <v>225788387</v>
      </c>
      <c r="E18" s="34"/>
      <c r="F18" s="34"/>
    </row>
    <row r="19" spans="1:6" ht="78" customHeight="1">
      <c r="A19" s="125">
        <v>11010100</v>
      </c>
      <c r="B19" s="126" t="s">
        <v>405</v>
      </c>
      <c r="C19" s="34">
        <f t="shared" si="0"/>
        <v>168648387</v>
      </c>
      <c r="D19" s="34">
        <f>166444397+2203990</f>
        <v>168648387</v>
      </c>
      <c r="E19" s="34"/>
      <c r="F19" s="34"/>
    </row>
    <row r="20" spans="1:6" ht="99.75" customHeight="1">
      <c r="A20" s="125">
        <v>11010200</v>
      </c>
      <c r="B20" s="126" t="s">
        <v>406</v>
      </c>
      <c r="C20" s="34">
        <f t="shared" si="0"/>
        <v>48015000</v>
      </c>
      <c r="D20" s="34">
        <v>48015000</v>
      </c>
      <c r="E20" s="34"/>
      <c r="F20" s="34"/>
    </row>
    <row r="21" spans="1:6" ht="62.25">
      <c r="A21" s="125">
        <v>11010400</v>
      </c>
      <c r="B21" s="126" t="s">
        <v>407</v>
      </c>
      <c r="C21" s="34">
        <f t="shared" si="0"/>
        <v>6131600</v>
      </c>
      <c r="D21" s="34">
        <v>6131600</v>
      </c>
      <c r="E21" s="34"/>
      <c r="F21" s="34"/>
    </row>
    <row r="22" spans="1:6" ht="46.5">
      <c r="A22" s="125">
        <v>11010500</v>
      </c>
      <c r="B22" s="126" t="s">
        <v>408</v>
      </c>
      <c r="C22" s="34">
        <f t="shared" si="0"/>
        <v>2993400</v>
      </c>
      <c r="D22" s="34">
        <v>2993400</v>
      </c>
      <c r="E22" s="34"/>
      <c r="F22" s="34"/>
    </row>
    <row r="23" spans="1:6" ht="15">
      <c r="A23" s="125">
        <v>11020000</v>
      </c>
      <c r="B23" s="126" t="s">
        <v>409</v>
      </c>
      <c r="C23" s="34">
        <f t="shared" si="0"/>
        <v>8000</v>
      </c>
      <c r="D23" s="34">
        <f>D24</f>
        <v>8000</v>
      </c>
      <c r="E23" s="34"/>
      <c r="F23" s="34"/>
    </row>
    <row r="24" spans="1:6" ht="46.5">
      <c r="A24" s="125">
        <v>11020200</v>
      </c>
      <c r="B24" s="126" t="s">
        <v>410</v>
      </c>
      <c r="C24" s="34">
        <f t="shared" si="0"/>
        <v>8000</v>
      </c>
      <c r="D24" s="34">
        <v>8000</v>
      </c>
      <c r="E24" s="34"/>
      <c r="F24" s="34"/>
    </row>
    <row r="25" spans="1:6" ht="30.75">
      <c r="A25" s="125">
        <v>13000000</v>
      </c>
      <c r="B25" s="126" t="s">
        <v>411</v>
      </c>
      <c r="C25" s="34">
        <f t="shared" si="0"/>
        <v>81000</v>
      </c>
      <c r="D25" s="34">
        <f>D26</f>
        <v>81000</v>
      </c>
      <c r="E25" s="34"/>
      <c r="F25" s="34"/>
    </row>
    <row r="26" spans="1:6" ht="15">
      <c r="A26" s="125">
        <v>13030000</v>
      </c>
      <c r="B26" s="128" t="s">
        <v>412</v>
      </c>
      <c r="C26" s="34">
        <f t="shared" si="0"/>
        <v>81000</v>
      </c>
      <c r="D26" s="34">
        <f>D27</f>
        <v>81000</v>
      </c>
      <c r="E26" s="34"/>
      <c r="F26" s="34"/>
    </row>
    <row r="27" spans="1:8" ht="46.5">
      <c r="A27" s="125">
        <v>13030100</v>
      </c>
      <c r="B27" s="126" t="s">
        <v>413</v>
      </c>
      <c r="C27" s="34">
        <f t="shared" si="0"/>
        <v>81000</v>
      </c>
      <c r="D27" s="34">
        <v>81000</v>
      </c>
      <c r="E27" s="34"/>
      <c r="F27" s="34"/>
      <c r="H27" s="127"/>
    </row>
    <row r="28" spans="1:6" ht="15">
      <c r="A28" s="125">
        <v>14000000</v>
      </c>
      <c r="B28" s="126" t="s">
        <v>414</v>
      </c>
      <c r="C28" s="34">
        <f t="shared" si="0"/>
        <v>38881400</v>
      </c>
      <c r="D28" s="34">
        <f>D33+D29+D31</f>
        <v>38881400</v>
      </c>
      <c r="E28" s="34"/>
      <c r="F28" s="34"/>
    </row>
    <row r="29" spans="1:6" ht="30.75">
      <c r="A29" s="125">
        <v>14020000</v>
      </c>
      <c r="B29" s="126" t="s">
        <v>415</v>
      </c>
      <c r="C29" s="34">
        <f t="shared" si="0"/>
        <v>3018100</v>
      </c>
      <c r="D29" s="34">
        <f>D30</f>
        <v>3018100</v>
      </c>
      <c r="E29" s="34"/>
      <c r="F29" s="34"/>
    </row>
    <row r="30" spans="1:6" ht="15">
      <c r="A30" s="125">
        <v>14021900</v>
      </c>
      <c r="B30" s="126" t="s">
        <v>416</v>
      </c>
      <c r="C30" s="34">
        <f t="shared" si="0"/>
        <v>3018100</v>
      </c>
      <c r="D30" s="34">
        <v>3018100</v>
      </c>
      <c r="E30" s="34"/>
      <c r="F30" s="34"/>
    </row>
    <row r="31" spans="1:8" ht="46.5">
      <c r="A31" s="125">
        <v>14030000</v>
      </c>
      <c r="B31" s="126" t="s">
        <v>417</v>
      </c>
      <c r="C31" s="34">
        <f t="shared" si="0"/>
        <v>12996000</v>
      </c>
      <c r="D31" s="34">
        <f>D32</f>
        <v>12996000</v>
      </c>
      <c r="E31" s="34"/>
      <c r="F31" s="34"/>
      <c r="H31">
        <f>D29+D31</f>
        <v>16014100</v>
      </c>
    </row>
    <row r="32" spans="1:6" ht="15">
      <c r="A32" s="125">
        <v>14031900</v>
      </c>
      <c r="B32" s="126" t="s">
        <v>416</v>
      </c>
      <c r="C32" s="34">
        <f t="shared" si="0"/>
        <v>12996000</v>
      </c>
      <c r="D32" s="34">
        <v>12996000</v>
      </c>
      <c r="E32" s="34"/>
      <c r="F32" s="34"/>
    </row>
    <row r="33" spans="1:6" ht="46.5">
      <c r="A33" s="125">
        <v>14040000</v>
      </c>
      <c r="B33" s="126" t="s">
        <v>418</v>
      </c>
      <c r="C33" s="34">
        <f t="shared" si="0"/>
        <v>22867300</v>
      </c>
      <c r="D33" s="34">
        <v>22867300</v>
      </c>
      <c r="E33" s="34"/>
      <c r="F33" s="34"/>
    </row>
    <row r="34" spans="1:8" ht="15">
      <c r="A34" s="125">
        <v>18000000</v>
      </c>
      <c r="B34" s="126" t="s">
        <v>419</v>
      </c>
      <c r="C34" s="34">
        <f t="shared" si="0"/>
        <v>89390800</v>
      </c>
      <c r="D34" s="34">
        <f>D35+D46+D49</f>
        <v>89390800</v>
      </c>
      <c r="E34" s="34"/>
      <c r="F34" s="34"/>
      <c r="H34" s="127"/>
    </row>
    <row r="35" spans="1:6" ht="15">
      <c r="A35" s="125">
        <v>18010000</v>
      </c>
      <c r="B35" s="126" t="s">
        <v>420</v>
      </c>
      <c r="C35" s="34">
        <f t="shared" si="0"/>
        <v>41095300</v>
      </c>
      <c r="D35" s="34">
        <f>SUM(D36:D45)</f>
        <v>41095300</v>
      </c>
      <c r="E35" s="34"/>
      <c r="F35" s="34"/>
    </row>
    <row r="36" spans="1:6" ht="62.25">
      <c r="A36" s="125">
        <v>18010100</v>
      </c>
      <c r="B36" s="27" t="s">
        <v>421</v>
      </c>
      <c r="C36" s="34">
        <f t="shared" si="0"/>
        <v>64400</v>
      </c>
      <c r="D36" s="34">
        <v>64400</v>
      </c>
      <c r="E36" s="34"/>
      <c r="F36" s="34"/>
    </row>
    <row r="37" spans="1:6" ht="75.75" customHeight="1">
      <c r="A37" s="125">
        <v>18010200</v>
      </c>
      <c r="B37" s="27" t="s">
        <v>422</v>
      </c>
      <c r="C37" s="34">
        <f t="shared" si="0"/>
        <v>380900</v>
      </c>
      <c r="D37" s="34">
        <v>380900</v>
      </c>
      <c r="E37" s="34"/>
      <c r="F37" s="34"/>
    </row>
    <row r="38" spans="1:6" ht="74.25" customHeight="1">
      <c r="A38" s="125">
        <v>18010300</v>
      </c>
      <c r="B38" s="27" t="s">
        <v>423</v>
      </c>
      <c r="C38" s="34">
        <f t="shared" si="0"/>
        <v>510700</v>
      </c>
      <c r="D38" s="34">
        <v>510700</v>
      </c>
      <c r="E38" s="34"/>
      <c r="F38" s="34"/>
    </row>
    <row r="39" spans="1:6" ht="62.25">
      <c r="A39" s="125">
        <v>18010400</v>
      </c>
      <c r="B39" s="27" t="s">
        <v>424</v>
      </c>
      <c r="C39" s="34">
        <f t="shared" si="0"/>
        <v>2230400</v>
      </c>
      <c r="D39" s="34">
        <v>2230400</v>
      </c>
      <c r="E39" s="34"/>
      <c r="F39" s="34"/>
    </row>
    <row r="40" spans="1:6" ht="15">
      <c r="A40" s="125">
        <v>18010500</v>
      </c>
      <c r="B40" s="27" t="s">
        <v>425</v>
      </c>
      <c r="C40" s="34">
        <f t="shared" si="0"/>
        <v>11276300</v>
      </c>
      <c r="D40" s="34">
        <v>11276300</v>
      </c>
      <c r="E40" s="34"/>
      <c r="F40" s="34"/>
    </row>
    <row r="41" spans="1:6" ht="15">
      <c r="A41" s="125">
        <v>18010600</v>
      </c>
      <c r="B41" s="27" t="s">
        <v>426</v>
      </c>
      <c r="C41" s="34">
        <f t="shared" si="0"/>
        <v>18884000</v>
      </c>
      <c r="D41" s="34">
        <v>18884000</v>
      </c>
      <c r="E41" s="34"/>
      <c r="F41" s="34"/>
    </row>
    <row r="42" spans="1:6" ht="15">
      <c r="A42" s="125">
        <v>18010700</v>
      </c>
      <c r="B42" s="27" t="s">
        <v>427</v>
      </c>
      <c r="C42" s="34">
        <f t="shared" si="0"/>
        <v>1296100</v>
      </c>
      <c r="D42" s="34">
        <v>1296100</v>
      </c>
      <c r="E42" s="34"/>
      <c r="F42" s="34"/>
    </row>
    <row r="43" spans="1:6" ht="15">
      <c r="A43" s="125">
        <v>18010900</v>
      </c>
      <c r="B43" s="27" t="s">
        <v>428</v>
      </c>
      <c r="C43" s="34">
        <f t="shared" si="0"/>
        <v>6177500</v>
      </c>
      <c r="D43" s="34">
        <v>6177500</v>
      </c>
      <c r="E43" s="34"/>
      <c r="F43" s="34"/>
    </row>
    <row r="44" spans="1:6" ht="15">
      <c r="A44" s="125">
        <v>18011000</v>
      </c>
      <c r="B44" s="27" t="s">
        <v>429</v>
      </c>
      <c r="C44" s="34">
        <f t="shared" si="0"/>
        <v>175000</v>
      </c>
      <c r="D44" s="34">
        <v>175000</v>
      </c>
      <c r="E44" s="34"/>
      <c r="F44" s="34"/>
    </row>
    <row r="45" spans="1:6" ht="15">
      <c r="A45" s="125">
        <v>18011100</v>
      </c>
      <c r="B45" s="113" t="s">
        <v>430</v>
      </c>
      <c r="C45" s="34">
        <f t="shared" si="0"/>
        <v>100000</v>
      </c>
      <c r="D45" s="34">
        <v>100000</v>
      </c>
      <c r="E45" s="34"/>
      <c r="F45" s="34"/>
    </row>
    <row r="46" spans="1:6" ht="15">
      <c r="A46" s="125">
        <v>18030000</v>
      </c>
      <c r="B46" s="113" t="s">
        <v>431</v>
      </c>
      <c r="C46" s="34">
        <f t="shared" si="0"/>
        <v>136400</v>
      </c>
      <c r="D46" s="34">
        <f>SUM(D47:D48)</f>
        <v>136400</v>
      </c>
      <c r="E46" s="34"/>
      <c r="F46" s="34"/>
    </row>
    <row r="47" spans="1:6" ht="30.75">
      <c r="A47" s="125">
        <v>18030100</v>
      </c>
      <c r="B47" s="113" t="s">
        <v>432</v>
      </c>
      <c r="C47" s="34">
        <f t="shared" si="0"/>
        <v>50600</v>
      </c>
      <c r="D47" s="34">
        <v>50600</v>
      </c>
      <c r="E47" s="34"/>
      <c r="F47" s="34"/>
    </row>
    <row r="48" spans="1:6" ht="30.75">
      <c r="A48" s="125">
        <v>18030200</v>
      </c>
      <c r="B48" s="113" t="s">
        <v>433</v>
      </c>
      <c r="C48" s="34">
        <f t="shared" si="0"/>
        <v>85800</v>
      </c>
      <c r="D48" s="34">
        <v>85800</v>
      </c>
      <c r="E48" s="34"/>
      <c r="F48" s="34"/>
    </row>
    <row r="49" spans="1:6" ht="15">
      <c r="A49" s="125">
        <v>18050000</v>
      </c>
      <c r="B49" s="129" t="s">
        <v>434</v>
      </c>
      <c r="C49" s="34">
        <f t="shared" si="0"/>
        <v>48159100</v>
      </c>
      <c r="D49" s="34">
        <f>SUM(D50:D52)</f>
        <v>48159100</v>
      </c>
      <c r="E49" s="34"/>
      <c r="F49" s="34"/>
    </row>
    <row r="50" spans="1:6" ht="15">
      <c r="A50" s="125">
        <v>18050300</v>
      </c>
      <c r="B50" s="129" t="s">
        <v>435</v>
      </c>
      <c r="C50" s="34">
        <f t="shared" si="0"/>
        <v>8744700</v>
      </c>
      <c r="D50" s="34">
        <v>8744700</v>
      </c>
      <c r="E50" s="34"/>
      <c r="F50" s="34"/>
    </row>
    <row r="51" spans="1:6" ht="15">
      <c r="A51" s="125">
        <v>18050400</v>
      </c>
      <c r="B51" s="129" t="s">
        <v>436</v>
      </c>
      <c r="C51" s="34">
        <f t="shared" si="0"/>
        <v>38423800</v>
      </c>
      <c r="D51" s="34">
        <v>38423800</v>
      </c>
      <c r="E51" s="34"/>
      <c r="F51" s="34"/>
    </row>
    <row r="52" spans="1:6" ht="93">
      <c r="A52" s="125">
        <v>18050500</v>
      </c>
      <c r="B52" s="27" t="s">
        <v>437</v>
      </c>
      <c r="C52" s="34">
        <f t="shared" si="0"/>
        <v>990600</v>
      </c>
      <c r="D52" s="34">
        <v>990600</v>
      </c>
      <c r="E52" s="34"/>
      <c r="F52" s="34"/>
    </row>
    <row r="53" spans="1:6" ht="15">
      <c r="A53" s="125">
        <v>19000000</v>
      </c>
      <c r="B53" s="126" t="s">
        <v>438</v>
      </c>
      <c r="C53" s="34">
        <f t="shared" si="0"/>
        <v>160000</v>
      </c>
      <c r="D53" s="34"/>
      <c r="E53" s="34">
        <f>E54</f>
        <v>160000</v>
      </c>
      <c r="F53" s="34"/>
    </row>
    <row r="54" spans="1:6" ht="15">
      <c r="A54" s="125">
        <v>19010000</v>
      </c>
      <c r="B54" s="126" t="s">
        <v>439</v>
      </c>
      <c r="C54" s="34">
        <f t="shared" si="0"/>
        <v>160000</v>
      </c>
      <c r="D54" s="34"/>
      <c r="E54" s="34">
        <f>SUM(E55:E57)</f>
        <v>160000</v>
      </c>
      <c r="F54" s="34"/>
    </row>
    <row r="55" spans="1:6" ht="93">
      <c r="A55" s="125">
        <v>19010100</v>
      </c>
      <c r="B55" s="126" t="s">
        <v>440</v>
      </c>
      <c r="C55" s="34">
        <f t="shared" si="0"/>
        <v>31000</v>
      </c>
      <c r="D55" s="34"/>
      <c r="E55" s="35">
        <v>31000</v>
      </c>
      <c r="F55" s="34"/>
    </row>
    <row r="56" spans="1:6" ht="30.75">
      <c r="A56" s="125">
        <v>19010200</v>
      </c>
      <c r="B56" s="126" t="s">
        <v>441</v>
      </c>
      <c r="C56" s="34">
        <f t="shared" si="0"/>
        <v>111000</v>
      </c>
      <c r="D56" s="34"/>
      <c r="E56" s="34">
        <v>111000</v>
      </c>
      <c r="F56" s="34"/>
    </row>
    <row r="57" spans="1:6" ht="62.25">
      <c r="A57" s="125">
        <v>19010300</v>
      </c>
      <c r="B57" s="126" t="s">
        <v>442</v>
      </c>
      <c r="C57" s="34">
        <f t="shared" si="0"/>
        <v>18000</v>
      </c>
      <c r="D57" s="34"/>
      <c r="E57" s="34">
        <v>18000</v>
      </c>
      <c r="F57" s="34"/>
    </row>
    <row r="58" spans="1:6" ht="15">
      <c r="A58" s="26">
        <v>20000000</v>
      </c>
      <c r="B58" s="124" t="s">
        <v>443</v>
      </c>
      <c r="C58" s="34">
        <f t="shared" si="0"/>
        <v>17977434</v>
      </c>
      <c r="D58" s="34">
        <f>D59+D66+D77</f>
        <v>8372411</v>
      </c>
      <c r="E58" s="34">
        <f>E59+E66+E77+E86</f>
        <v>9605023</v>
      </c>
      <c r="F58" s="34">
        <f>F59+F66+F77+F86</f>
        <v>150012</v>
      </c>
    </row>
    <row r="59" spans="1:8" ht="30.75">
      <c r="A59" s="125">
        <v>21000000</v>
      </c>
      <c r="B59" s="126" t="s">
        <v>444</v>
      </c>
      <c r="C59" s="34">
        <f t="shared" si="0"/>
        <v>230972</v>
      </c>
      <c r="D59" s="34">
        <f>D60+D62</f>
        <v>230972</v>
      </c>
      <c r="E59" s="34"/>
      <c r="F59" s="34"/>
      <c r="H59" s="127"/>
    </row>
    <row r="60" spans="1:6" ht="124.5">
      <c r="A60" s="125">
        <v>21010000</v>
      </c>
      <c r="B60" s="126" t="s">
        <v>445</v>
      </c>
      <c r="C60" s="34">
        <f t="shared" si="0"/>
        <v>60872</v>
      </c>
      <c r="D60" s="34">
        <f>D61</f>
        <v>60872</v>
      </c>
      <c r="E60" s="34"/>
      <c r="F60" s="34"/>
    </row>
    <row r="61" spans="1:6" ht="62.25">
      <c r="A61" s="125">
        <v>21010300</v>
      </c>
      <c r="B61" s="126" t="s">
        <v>446</v>
      </c>
      <c r="C61" s="34">
        <f t="shared" si="0"/>
        <v>60872</v>
      </c>
      <c r="D61" s="34">
        <f>500+60372</f>
        <v>60872</v>
      </c>
      <c r="E61" s="34"/>
      <c r="F61" s="34"/>
    </row>
    <row r="62" spans="1:6" ht="15">
      <c r="A62" s="28">
        <v>21080000</v>
      </c>
      <c r="B62" s="130" t="s">
        <v>447</v>
      </c>
      <c r="C62" s="34">
        <f t="shared" si="0"/>
        <v>170100</v>
      </c>
      <c r="D62" s="34">
        <f>SUM(D63:D65)</f>
        <v>170100</v>
      </c>
      <c r="E62" s="34"/>
      <c r="F62" s="34"/>
    </row>
    <row r="63" spans="1:6" ht="15">
      <c r="A63" s="28">
        <v>21081100</v>
      </c>
      <c r="B63" s="113" t="s">
        <v>448</v>
      </c>
      <c r="C63" s="34">
        <f t="shared" si="0"/>
        <v>42800</v>
      </c>
      <c r="D63" s="34">
        <v>42800</v>
      </c>
      <c r="E63" s="34"/>
      <c r="F63" s="34"/>
    </row>
    <row r="64" spans="1:6" ht="62.25">
      <c r="A64" s="28">
        <v>21081500</v>
      </c>
      <c r="B64" s="113" t="s">
        <v>449</v>
      </c>
      <c r="C64" s="34">
        <f t="shared" si="0"/>
        <v>119000</v>
      </c>
      <c r="D64" s="34">
        <v>119000</v>
      </c>
      <c r="E64" s="34"/>
      <c r="F64" s="34"/>
    </row>
    <row r="65" spans="1:6" ht="30.75">
      <c r="A65" s="28">
        <v>21081700</v>
      </c>
      <c r="B65" s="113" t="s">
        <v>450</v>
      </c>
      <c r="C65" s="34">
        <f t="shared" si="0"/>
        <v>8300</v>
      </c>
      <c r="D65" s="34">
        <v>8300</v>
      </c>
      <c r="E65" s="34"/>
      <c r="F65" s="34"/>
    </row>
    <row r="66" spans="1:6" ht="46.5">
      <c r="A66" s="125">
        <v>22000000</v>
      </c>
      <c r="B66" s="126" t="s">
        <v>451</v>
      </c>
      <c r="C66" s="34">
        <f t="shared" si="0"/>
        <v>7909400</v>
      </c>
      <c r="D66" s="34">
        <f>D67+D71+D73+D76</f>
        <v>7909400</v>
      </c>
      <c r="E66" s="34"/>
      <c r="F66" s="34"/>
    </row>
    <row r="67" spans="1:8" ht="30.75">
      <c r="A67" s="28">
        <v>22010000</v>
      </c>
      <c r="B67" s="113" t="s">
        <v>452</v>
      </c>
      <c r="C67" s="34">
        <f t="shared" si="0"/>
        <v>3736100</v>
      </c>
      <c r="D67" s="34">
        <f>D68+D69+D70</f>
        <v>3736100</v>
      </c>
      <c r="E67" s="34"/>
      <c r="F67" s="34"/>
      <c r="H67" s="127"/>
    </row>
    <row r="68" spans="1:6" ht="62.25">
      <c r="A68" s="28">
        <v>22010300</v>
      </c>
      <c r="B68" s="113" t="s">
        <v>453</v>
      </c>
      <c r="C68" s="34">
        <f t="shared" si="0"/>
        <v>230000</v>
      </c>
      <c r="D68" s="34">
        <v>230000</v>
      </c>
      <c r="E68" s="34"/>
      <c r="F68" s="34"/>
    </row>
    <row r="69" spans="1:6" ht="30.75">
      <c r="A69" s="28">
        <v>22012500</v>
      </c>
      <c r="B69" s="113" t="s">
        <v>454</v>
      </c>
      <c r="C69" s="34">
        <f t="shared" si="0"/>
        <v>3154100</v>
      </c>
      <c r="D69" s="34">
        <v>3154100</v>
      </c>
      <c r="E69" s="34"/>
      <c r="F69" s="34"/>
    </row>
    <row r="70" spans="1:6" ht="46.5">
      <c r="A70" s="28">
        <v>22012600</v>
      </c>
      <c r="B70" s="113" t="s">
        <v>455</v>
      </c>
      <c r="C70" s="34">
        <f t="shared" si="0"/>
        <v>352000</v>
      </c>
      <c r="D70" s="34">
        <v>352000</v>
      </c>
      <c r="E70" s="34"/>
      <c r="F70" s="34"/>
    </row>
    <row r="71" spans="1:6" ht="62.25">
      <c r="A71" s="125">
        <v>22080000</v>
      </c>
      <c r="B71" s="126" t="s">
        <v>456</v>
      </c>
      <c r="C71" s="34">
        <f t="shared" si="0"/>
        <v>4102000</v>
      </c>
      <c r="D71" s="34">
        <f>D72</f>
        <v>4102000</v>
      </c>
      <c r="E71" s="34"/>
      <c r="F71" s="34"/>
    </row>
    <row r="72" spans="1:6" ht="62.25">
      <c r="A72" s="125">
        <v>22080400</v>
      </c>
      <c r="B72" s="126" t="s">
        <v>457</v>
      </c>
      <c r="C72" s="34">
        <f t="shared" si="0"/>
        <v>4102000</v>
      </c>
      <c r="D72" s="34">
        <v>4102000</v>
      </c>
      <c r="E72" s="34"/>
      <c r="F72" s="34"/>
    </row>
    <row r="73" spans="1:6" ht="15">
      <c r="A73" s="125">
        <v>22090000</v>
      </c>
      <c r="B73" s="126" t="s">
        <v>458</v>
      </c>
      <c r="C73" s="34">
        <f t="shared" si="0"/>
        <v>69300</v>
      </c>
      <c r="D73" s="34">
        <f>SUM(D74:D75)</f>
        <v>69300</v>
      </c>
      <c r="E73" s="34"/>
      <c r="F73" s="34"/>
    </row>
    <row r="74" spans="1:6" ht="62.25">
      <c r="A74" s="125">
        <v>22090100</v>
      </c>
      <c r="B74" s="126" t="s">
        <v>459</v>
      </c>
      <c r="C74" s="34">
        <f t="shared" si="0"/>
        <v>15300</v>
      </c>
      <c r="D74" s="34">
        <v>15300</v>
      </c>
      <c r="E74" s="34"/>
      <c r="F74" s="34"/>
    </row>
    <row r="75" spans="1:6" ht="62.25">
      <c r="A75" s="125">
        <v>22090400</v>
      </c>
      <c r="B75" s="126" t="s">
        <v>460</v>
      </c>
      <c r="C75" s="34">
        <f t="shared" si="0"/>
        <v>54000</v>
      </c>
      <c r="D75" s="34">
        <v>54000</v>
      </c>
      <c r="E75" s="34"/>
      <c r="F75" s="34"/>
    </row>
    <row r="76" spans="1:6" ht="124.5">
      <c r="A76" s="125">
        <v>22130000</v>
      </c>
      <c r="B76" s="126" t="s">
        <v>461</v>
      </c>
      <c r="C76" s="34">
        <f t="shared" si="0"/>
        <v>2000</v>
      </c>
      <c r="D76" s="34">
        <v>2000</v>
      </c>
      <c r="E76" s="34"/>
      <c r="F76" s="34"/>
    </row>
    <row r="77" spans="1:8" ht="15">
      <c r="A77" s="125">
        <v>24000000</v>
      </c>
      <c r="B77" s="126" t="s">
        <v>462</v>
      </c>
      <c r="C77" s="34">
        <f t="shared" si="0"/>
        <v>434051</v>
      </c>
      <c r="D77" s="34">
        <f>D78+D79+D83+D85</f>
        <v>232039</v>
      </c>
      <c r="E77" s="34">
        <f>E78+E79+E83+E85</f>
        <v>202012</v>
      </c>
      <c r="F77" s="34">
        <f>F78+F79+F83+F85</f>
        <v>150012</v>
      </c>
      <c r="H77" s="127"/>
    </row>
    <row r="78" spans="1:6" ht="62.25">
      <c r="A78" s="125">
        <v>24030000</v>
      </c>
      <c r="B78" s="126" t="s">
        <v>463</v>
      </c>
      <c r="C78" s="34">
        <f t="shared" si="0"/>
        <v>24200</v>
      </c>
      <c r="D78" s="34">
        <v>24200</v>
      </c>
      <c r="E78" s="34"/>
      <c r="F78" s="34"/>
    </row>
    <row r="79" spans="1:6" ht="15">
      <c r="A79" s="125">
        <v>24060000</v>
      </c>
      <c r="B79" s="126" t="s">
        <v>447</v>
      </c>
      <c r="C79" s="34">
        <f t="shared" si="0"/>
        <v>259839</v>
      </c>
      <c r="D79" s="34">
        <f>SUM(D80:D82)</f>
        <v>207839</v>
      </c>
      <c r="E79" s="34">
        <f>SUM(E80:E82)</f>
        <v>52000</v>
      </c>
      <c r="F79" s="34"/>
    </row>
    <row r="80" spans="1:6" ht="15">
      <c r="A80" s="125">
        <v>24060300</v>
      </c>
      <c r="B80" s="126" t="s">
        <v>447</v>
      </c>
      <c r="C80" s="34">
        <f t="shared" si="0"/>
        <v>207839</v>
      </c>
      <c r="D80" s="34">
        <f>111700+96139</f>
        <v>207839</v>
      </c>
      <c r="E80" s="34"/>
      <c r="F80" s="34"/>
    </row>
    <row r="81" spans="1:6" ht="30.75">
      <c r="A81" s="125">
        <v>24061600</v>
      </c>
      <c r="B81" s="126" t="s">
        <v>464</v>
      </c>
      <c r="C81" s="34">
        <f t="shared" si="0"/>
        <v>37000</v>
      </c>
      <c r="D81" s="34"/>
      <c r="E81" s="34">
        <v>37000</v>
      </c>
      <c r="F81" s="34"/>
    </row>
    <row r="82" spans="1:6" ht="78">
      <c r="A82" s="125">
        <v>24062100</v>
      </c>
      <c r="B82" s="126" t="s">
        <v>465</v>
      </c>
      <c r="C82" s="34">
        <f t="shared" si="0"/>
        <v>15000</v>
      </c>
      <c r="D82" s="34"/>
      <c r="E82" s="34">
        <v>15000</v>
      </c>
      <c r="F82" s="34"/>
    </row>
    <row r="83" spans="1:6" ht="30.75">
      <c r="A83" s="125">
        <v>24110000</v>
      </c>
      <c r="B83" s="126" t="s">
        <v>466</v>
      </c>
      <c r="C83" s="34">
        <f t="shared" si="0"/>
        <v>12</v>
      </c>
      <c r="D83" s="34"/>
      <c r="E83" s="34">
        <f>E84</f>
        <v>12</v>
      </c>
      <c r="F83" s="34">
        <f>F84</f>
        <v>12</v>
      </c>
    </row>
    <row r="84" spans="1:6" ht="46.5">
      <c r="A84" s="125">
        <v>24110700</v>
      </c>
      <c r="B84" s="126" t="s">
        <v>467</v>
      </c>
      <c r="C84" s="34">
        <f t="shared" si="0"/>
        <v>12</v>
      </c>
      <c r="D84" s="34"/>
      <c r="E84" s="34">
        <f>F84</f>
        <v>12</v>
      </c>
      <c r="F84" s="34">
        <v>12</v>
      </c>
    </row>
    <row r="85" spans="1:6" ht="46.5">
      <c r="A85" s="125">
        <v>24170000</v>
      </c>
      <c r="B85" s="126" t="s">
        <v>468</v>
      </c>
      <c r="C85" s="34">
        <f t="shared" si="0"/>
        <v>150000</v>
      </c>
      <c r="D85" s="34"/>
      <c r="E85" s="34">
        <f>F85</f>
        <v>150000</v>
      </c>
      <c r="F85" s="34">
        <v>150000</v>
      </c>
    </row>
    <row r="86" spans="1:6" ht="15">
      <c r="A86" s="125">
        <v>25000000</v>
      </c>
      <c r="B86" s="126" t="s">
        <v>469</v>
      </c>
      <c r="C86" s="34">
        <f t="shared" si="0"/>
        <v>9403011</v>
      </c>
      <c r="D86" s="34"/>
      <c r="E86" s="34">
        <f>E87</f>
        <v>9403011</v>
      </c>
      <c r="F86" s="34"/>
    </row>
    <row r="87" spans="1:6" ht="46.5">
      <c r="A87" s="125">
        <v>25010000</v>
      </c>
      <c r="B87" s="126" t="s">
        <v>470</v>
      </c>
      <c r="C87" s="34">
        <f t="shared" si="0"/>
        <v>9403011</v>
      </c>
      <c r="D87" s="34"/>
      <c r="E87" s="34">
        <f>SUM(E88:E90)</f>
        <v>9403011</v>
      </c>
      <c r="F87" s="34"/>
    </row>
    <row r="88" spans="1:6" ht="46.5">
      <c r="A88" s="125">
        <v>25010100</v>
      </c>
      <c r="B88" s="126" t="s">
        <v>471</v>
      </c>
      <c r="C88" s="34">
        <f t="shared" si="0"/>
        <v>9293463</v>
      </c>
      <c r="D88" s="34"/>
      <c r="E88" s="34">
        <f>8855553+437910</f>
        <v>9293463</v>
      </c>
      <c r="F88" s="34"/>
    </row>
    <row r="89" spans="1:6" ht="62.25">
      <c r="A89" s="125">
        <v>25010300</v>
      </c>
      <c r="B89" s="126" t="s">
        <v>472</v>
      </c>
      <c r="C89" s="34">
        <f t="shared" si="0"/>
        <v>107748</v>
      </c>
      <c r="D89" s="34"/>
      <c r="E89" s="34">
        <f>86748+21000</f>
        <v>107748</v>
      </c>
      <c r="F89" s="34"/>
    </row>
    <row r="90" spans="1:6" ht="46.5">
      <c r="A90" s="125">
        <v>25010400</v>
      </c>
      <c r="B90" s="126" t="s">
        <v>473</v>
      </c>
      <c r="C90" s="34">
        <f t="shared" si="0"/>
        <v>1800</v>
      </c>
      <c r="D90" s="34"/>
      <c r="E90" s="34">
        <v>1800</v>
      </c>
      <c r="F90" s="34"/>
    </row>
    <row r="91" spans="1:6" ht="15">
      <c r="A91" s="26">
        <v>30000000</v>
      </c>
      <c r="B91" s="124" t="s">
        <v>474</v>
      </c>
      <c r="C91" s="34">
        <f aca="true" t="shared" si="1" ref="C91:C115">D91+E91</f>
        <v>2744800</v>
      </c>
      <c r="D91" s="34">
        <f>D92+D97</f>
        <v>5800</v>
      </c>
      <c r="E91" s="34">
        <f>E92+E97</f>
        <v>2739000</v>
      </c>
      <c r="F91" s="34">
        <f>F92+F97</f>
        <v>2739000</v>
      </c>
    </row>
    <row r="92" spans="1:6" ht="30.75">
      <c r="A92" s="125">
        <v>31000000</v>
      </c>
      <c r="B92" s="126" t="s">
        <v>475</v>
      </c>
      <c r="C92" s="34">
        <f t="shared" si="1"/>
        <v>644800</v>
      </c>
      <c r="D92" s="34">
        <f>D93+D95+D96</f>
        <v>5800</v>
      </c>
      <c r="E92" s="34">
        <f>E93+E95+E96</f>
        <v>639000</v>
      </c>
      <c r="F92" s="34">
        <f>F93+F95+F96</f>
        <v>639000</v>
      </c>
    </row>
    <row r="93" spans="1:8" ht="135" customHeight="1">
      <c r="A93" s="125">
        <v>31010000</v>
      </c>
      <c r="B93" s="126" t="s">
        <v>476</v>
      </c>
      <c r="C93" s="34">
        <f t="shared" si="1"/>
        <v>4100</v>
      </c>
      <c r="D93" s="34">
        <f>D94+D96</f>
        <v>4100</v>
      </c>
      <c r="E93" s="34"/>
      <c r="F93" s="34"/>
      <c r="H93" s="127"/>
    </row>
    <row r="94" spans="1:6" ht="118.5" customHeight="1">
      <c r="A94" s="125">
        <v>31010200</v>
      </c>
      <c r="B94" s="126" t="s">
        <v>477</v>
      </c>
      <c r="C94" s="34">
        <f t="shared" si="1"/>
        <v>4100</v>
      </c>
      <c r="D94" s="34">
        <v>4100</v>
      </c>
      <c r="E94" s="34"/>
      <c r="F94" s="34"/>
    </row>
    <row r="95" spans="1:6" ht="62.25" customHeight="1">
      <c r="A95" s="125">
        <v>31020000</v>
      </c>
      <c r="B95" s="126" t="s">
        <v>478</v>
      </c>
      <c r="C95" s="34">
        <f t="shared" si="1"/>
        <v>1700</v>
      </c>
      <c r="D95" s="34">
        <v>1700</v>
      </c>
      <c r="E95" s="34"/>
      <c r="F95" s="34"/>
    </row>
    <row r="96" spans="1:6" ht="72.75" customHeight="1">
      <c r="A96" s="125">
        <v>31030000</v>
      </c>
      <c r="B96" s="126" t="s">
        <v>479</v>
      </c>
      <c r="C96" s="34">
        <f t="shared" si="1"/>
        <v>639000</v>
      </c>
      <c r="D96" s="34"/>
      <c r="E96" s="34">
        <f>F96</f>
        <v>639000</v>
      </c>
      <c r="F96" s="34">
        <v>639000</v>
      </c>
    </row>
    <row r="97" spans="1:6" ht="41.25" customHeight="1">
      <c r="A97" s="125">
        <v>33000000</v>
      </c>
      <c r="B97" s="126" t="s">
        <v>480</v>
      </c>
      <c r="C97" s="34">
        <f t="shared" si="1"/>
        <v>2100000</v>
      </c>
      <c r="D97" s="34"/>
      <c r="E97" s="34">
        <f>E98</f>
        <v>2100000</v>
      </c>
      <c r="F97" s="34">
        <f>F98</f>
        <v>2100000</v>
      </c>
    </row>
    <row r="98" spans="1:6" ht="15">
      <c r="A98" s="125">
        <v>33010000</v>
      </c>
      <c r="B98" s="126" t="s">
        <v>481</v>
      </c>
      <c r="C98" s="34">
        <f t="shared" si="1"/>
        <v>2100000</v>
      </c>
      <c r="D98" s="34"/>
      <c r="E98" s="34">
        <f>E99</f>
        <v>2100000</v>
      </c>
      <c r="F98" s="34">
        <f>F99</f>
        <v>2100000</v>
      </c>
    </row>
    <row r="99" spans="1:6" ht="93">
      <c r="A99" s="125">
        <v>33010100</v>
      </c>
      <c r="B99" s="126" t="s">
        <v>482</v>
      </c>
      <c r="C99" s="34">
        <f t="shared" si="1"/>
        <v>2100000</v>
      </c>
      <c r="D99" s="34"/>
      <c r="E99" s="34">
        <f>F99</f>
        <v>2100000</v>
      </c>
      <c r="F99" s="34">
        <v>2100000</v>
      </c>
    </row>
    <row r="100" spans="1:6" ht="37.5" customHeight="1">
      <c r="A100" s="26"/>
      <c r="B100" s="131" t="s">
        <v>483</v>
      </c>
      <c r="C100" s="36">
        <f t="shared" si="1"/>
        <v>375031821</v>
      </c>
      <c r="D100" s="36">
        <f>D16+D58+D91</f>
        <v>362527798</v>
      </c>
      <c r="E100" s="36">
        <f>E16+E58+E91</f>
        <v>12504023</v>
      </c>
      <c r="F100" s="36">
        <f>F16+F58+F91</f>
        <v>2889012</v>
      </c>
    </row>
    <row r="101" spans="1:6" ht="21" customHeight="1">
      <c r="A101" s="26">
        <v>40000000</v>
      </c>
      <c r="B101" s="124" t="s">
        <v>484</v>
      </c>
      <c r="C101" s="34">
        <f t="shared" si="1"/>
        <v>148958157</v>
      </c>
      <c r="D101" s="34">
        <f>D102</f>
        <v>148958157</v>
      </c>
      <c r="E101" s="34"/>
      <c r="F101" s="34"/>
    </row>
    <row r="102" spans="1:6" ht="21" customHeight="1">
      <c r="A102" s="125">
        <v>41000000</v>
      </c>
      <c r="B102" s="126" t="s">
        <v>485</v>
      </c>
      <c r="C102" s="34">
        <f t="shared" si="1"/>
        <v>148958157</v>
      </c>
      <c r="D102" s="34">
        <f>D103+D105+D108+D110</f>
        <v>148958157</v>
      </c>
      <c r="E102" s="34"/>
      <c r="F102" s="34"/>
    </row>
    <row r="103" spans="1:6" ht="39" customHeight="1">
      <c r="A103" s="125">
        <v>41020000</v>
      </c>
      <c r="B103" s="126" t="s">
        <v>486</v>
      </c>
      <c r="C103" s="34">
        <f t="shared" si="1"/>
        <v>15385300</v>
      </c>
      <c r="D103" s="34">
        <f>D104</f>
        <v>15385300</v>
      </c>
      <c r="E103" s="34"/>
      <c r="F103" s="34"/>
    </row>
    <row r="104" spans="1:6" ht="21.75" customHeight="1">
      <c r="A104" s="125">
        <v>41020100</v>
      </c>
      <c r="B104" s="126" t="s">
        <v>487</v>
      </c>
      <c r="C104" s="34">
        <f t="shared" si="1"/>
        <v>15385300</v>
      </c>
      <c r="D104" s="34">
        <v>15385300</v>
      </c>
      <c r="E104" s="34"/>
      <c r="F104" s="34"/>
    </row>
    <row r="105" spans="1:6" ht="37.5" customHeight="1">
      <c r="A105" s="125">
        <v>41030000</v>
      </c>
      <c r="B105" s="126" t="s">
        <v>488</v>
      </c>
      <c r="C105" s="34">
        <f t="shared" si="1"/>
        <v>127822400</v>
      </c>
      <c r="D105" s="34">
        <f>D106+D107</f>
        <v>127822400</v>
      </c>
      <c r="E105" s="34"/>
      <c r="F105" s="34"/>
    </row>
    <row r="106" spans="1:6" ht="41.25" customHeight="1">
      <c r="A106" s="125">
        <v>41033900</v>
      </c>
      <c r="B106" s="27" t="s">
        <v>489</v>
      </c>
      <c r="C106" s="34">
        <f t="shared" si="1"/>
        <v>114030000</v>
      </c>
      <c r="D106" s="34">
        <f>94732600+19297400</f>
        <v>114030000</v>
      </c>
      <c r="E106" s="34"/>
      <c r="F106" s="34"/>
    </row>
    <row r="107" spans="1:6" ht="33.75" customHeight="1">
      <c r="A107" s="125">
        <v>41034200</v>
      </c>
      <c r="B107" s="27" t="s">
        <v>490</v>
      </c>
      <c r="C107" s="34">
        <f t="shared" si="1"/>
        <v>13792400</v>
      </c>
      <c r="D107" s="34">
        <v>13792400</v>
      </c>
      <c r="E107" s="34"/>
      <c r="F107" s="34"/>
    </row>
    <row r="108" spans="1:6" ht="41.25" customHeight="1">
      <c r="A108" s="125">
        <v>41040000</v>
      </c>
      <c r="B108" s="27" t="s">
        <v>491</v>
      </c>
      <c r="C108" s="34">
        <f t="shared" si="1"/>
        <v>1256800</v>
      </c>
      <c r="D108" s="34">
        <f>D109</f>
        <v>1256800</v>
      </c>
      <c r="E108" s="34"/>
      <c r="F108" s="34"/>
    </row>
    <row r="109" spans="1:6" ht="100.5" customHeight="1">
      <c r="A109" s="125">
        <v>41040200</v>
      </c>
      <c r="B109" s="27" t="s">
        <v>324</v>
      </c>
      <c r="C109" s="34">
        <f t="shared" si="1"/>
        <v>1256800</v>
      </c>
      <c r="D109" s="34">
        <v>1256800</v>
      </c>
      <c r="E109" s="34"/>
      <c r="F109" s="34"/>
    </row>
    <row r="110" spans="1:9" ht="37.5" customHeight="1">
      <c r="A110" s="125">
        <v>41050000</v>
      </c>
      <c r="B110" s="27" t="s">
        <v>492</v>
      </c>
      <c r="C110" s="34">
        <f t="shared" si="1"/>
        <v>4493657</v>
      </c>
      <c r="D110" s="34">
        <f>SUM(D111:D115)</f>
        <v>4493657</v>
      </c>
      <c r="E110" s="34"/>
      <c r="F110" s="34"/>
      <c r="H110" s="127">
        <f>D109+D110</f>
        <v>5750457</v>
      </c>
      <c r="I110" s="132">
        <f>H110-'[1]додаток 4'!M20</f>
        <v>0</v>
      </c>
    </row>
    <row r="111" spans="1:6" ht="69" customHeight="1">
      <c r="A111" s="125">
        <v>41051000</v>
      </c>
      <c r="B111" s="27" t="s">
        <v>325</v>
      </c>
      <c r="C111" s="34">
        <f t="shared" si="1"/>
        <v>844767</v>
      </c>
      <c r="D111" s="34">
        <v>844767</v>
      </c>
      <c r="E111" s="34"/>
      <c r="F111" s="34"/>
    </row>
    <row r="112" spans="1:6" ht="88.5" customHeight="1">
      <c r="A112" s="125">
        <v>41051200</v>
      </c>
      <c r="B112" s="27" t="s">
        <v>493</v>
      </c>
      <c r="C112" s="34">
        <f t="shared" si="1"/>
        <v>513150</v>
      </c>
      <c r="D112" s="34">
        <f>279900+233250</f>
        <v>513150</v>
      </c>
      <c r="E112" s="34"/>
      <c r="F112" s="34"/>
    </row>
    <row r="113" spans="1:6" ht="93">
      <c r="A113" s="125">
        <v>41051400</v>
      </c>
      <c r="B113" s="27" t="s">
        <v>141</v>
      </c>
      <c r="C113" s="34">
        <f t="shared" si="1"/>
        <v>2056740</v>
      </c>
      <c r="D113" s="34">
        <v>2056740</v>
      </c>
      <c r="E113" s="34"/>
      <c r="F113" s="34"/>
    </row>
    <row r="114" spans="1:6" ht="69" customHeight="1">
      <c r="A114" s="125">
        <v>41051500</v>
      </c>
      <c r="B114" s="27" t="s">
        <v>494</v>
      </c>
      <c r="C114" s="34">
        <f t="shared" si="1"/>
        <v>432000</v>
      </c>
      <c r="D114" s="34">
        <v>432000</v>
      </c>
      <c r="E114" s="34"/>
      <c r="F114" s="34"/>
    </row>
    <row r="115" spans="1:6" ht="21.75" customHeight="1">
      <c r="A115" s="125">
        <v>41053900</v>
      </c>
      <c r="B115" s="27" t="s">
        <v>495</v>
      </c>
      <c r="C115" s="34">
        <f t="shared" si="1"/>
        <v>647000</v>
      </c>
      <c r="D115" s="34">
        <f>147000+500000</f>
        <v>647000</v>
      </c>
      <c r="E115" s="34"/>
      <c r="F115" s="34"/>
    </row>
    <row r="116" spans="1:6" ht="17.25">
      <c r="A116" s="133" t="s">
        <v>496</v>
      </c>
      <c r="B116" s="134" t="s">
        <v>497</v>
      </c>
      <c r="C116" s="135">
        <f>D116+E116</f>
        <v>523989978</v>
      </c>
      <c r="D116" s="135">
        <f>D100+D101</f>
        <v>511485955</v>
      </c>
      <c r="E116" s="135">
        <f>E100+E101</f>
        <v>12504023</v>
      </c>
      <c r="F116" s="135">
        <f>F100+F101</f>
        <v>2889012</v>
      </c>
    </row>
    <row r="121" spans="2:6" ht="15">
      <c r="B121" s="19"/>
      <c r="C121" s="19"/>
      <c r="D121" s="19"/>
      <c r="E121" s="19"/>
      <c r="F121" s="19"/>
    </row>
    <row r="122" spans="1:5" ht="18">
      <c r="A122" s="30" t="s">
        <v>662</v>
      </c>
      <c r="B122" s="30"/>
      <c r="C122" s="30"/>
      <c r="D122" s="31"/>
      <c r="E122" s="30" t="s">
        <v>663</v>
      </c>
    </row>
  </sheetData>
  <sheetProtection/>
  <mergeCells count="8">
    <mergeCell ref="A1:A6"/>
    <mergeCell ref="D5:F5"/>
    <mergeCell ref="B8:E8"/>
    <mergeCell ref="A13:A14"/>
    <mergeCell ref="B13:B14"/>
    <mergeCell ref="C13:C14"/>
    <mergeCell ref="D13:D14"/>
    <mergeCell ref="E13:F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3.50390625" style="0" customWidth="1"/>
    <col min="2" max="2" width="51.50390625" style="0" customWidth="1"/>
    <col min="3" max="3" width="11.50390625" style="0" customWidth="1"/>
    <col min="4" max="4" width="17.125" style="0" customWidth="1"/>
    <col min="5" max="5" width="17.50390625" style="0" customWidth="1"/>
    <col min="6" max="6" width="17.625" style="0" customWidth="1"/>
  </cols>
  <sheetData>
    <row r="1" ht="13.5">
      <c r="E1" s="4" t="s">
        <v>399</v>
      </c>
    </row>
    <row r="2" spans="5:7" ht="13.5">
      <c r="E2" s="52" t="s">
        <v>660</v>
      </c>
      <c r="G2" s="2"/>
    </row>
    <row r="3" ht="13.5">
      <c r="E3" s="4" t="s">
        <v>661</v>
      </c>
    </row>
    <row r="4" ht="13.5">
      <c r="E4" s="4" t="s">
        <v>666</v>
      </c>
    </row>
    <row r="5" ht="13.5">
      <c r="F5" s="51"/>
    </row>
    <row r="7" spans="1:6" ht="17.25">
      <c r="A7" s="224" t="s">
        <v>350</v>
      </c>
      <c r="B7" s="224"/>
      <c r="C7" s="224"/>
      <c r="D7" s="224"/>
      <c r="E7" s="224"/>
      <c r="F7" s="224"/>
    </row>
    <row r="8" spans="1:6" ht="15">
      <c r="A8" s="16"/>
      <c r="B8" s="16"/>
      <c r="C8" s="16"/>
      <c r="D8" s="16"/>
      <c r="E8" s="16"/>
      <c r="F8" s="16"/>
    </row>
    <row r="9" spans="1:6" ht="15">
      <c r="A9" s="106" t="s">
        <v>0</v>
      </c>
      <c r="B9" s="16"/>
      <c r="C9" s="16"/>
      <c r="D9" s="16"/>
      <c r="E9" s="16"/>
      <c r="F9" s="16"/>
    </row>
    <row r="10" ht="12.75">
      <c r="A10" s="1" t="s">
        <v>25</v>
      </c>
    </row>
    <row r="11" spans="1:6" ht="12.75">
      <c r="A11" s="5"/>
      <c r="F11" s="6" t="s">
        <v>5</v>
      </c>
    </row>
    <row r="12" ht="13.5" thickBot="1"/>
    <row r="13" spans="1:6" ht="26.25" customHeight="1" thickBot="1">
      <c r="A13" s="225" t="s">
        <v>6</v>
      </c>
      <c r="B13" s="225" t="s">
        <v>26</v>
      </c>
      <c r="C13" s="225" t="s">
        <v>7</v>
      </c>
      <c r="D13" s="225" t="s">
        <v>8</v>
      </c>
      <c r="E13" s="230" t="s">
        <v>9</v>
      </c>
      <c r="F13" s="231"/>
    </row>
    <row r="14" spans="1:6" ht="39" customHeight="1" thickBot="1">
      <c r="A14" s="226"/>
      <c r="B14" s="226"/>
      <c r="C14" s="226"/>
      <c r="D14" s="226"/>
      <c r="E14" s="3" t="s">
        <v>10</v>
      </c>
      <c r="F14" s="3" t="s">
        <v>11</v>
      </c>
    </row>
    <row r="15" spans="1:6" ht="15.7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232" t="s">
        <v>12</v>
      </c>
      <c r="B16" s="233"/>
      <c r="C16" s="234"/>
      <c r="D16" s="234"/>
      <c r="E16" s="234"/>
      <c r="F16" s="235"/>
    </row>
    <row r="17" spans="1:6" ht="15">
      <c r="A17" s="18">
        <v>200000</v>
      </c>
      <c r="B17" s="19" t="s">
        <v>319</v>
      </c>
      <c r="C17" s="22">
        <f>D17+E17</f>
        <v>24696923</v>
      </c>
      <c r="D17" s="37">
        <f>D18</f>
        <v>-22599221</v>
      </c>
      <c r="E17" s="37">
        <f>E18</f>
        <v>47296144</v>
      </c>
      <c r="F17" s="37">
        <f>F18</f>
        <v>46582186</v>
      </c>
    </row>
    <row r="18" spans="1:6" ht="30.75">
      <c r="A18" s="20">
        <v>208000</v>
      </c>
      <c r="B18" s="21" t="s">
        <v>320</v>
      </c>
      <c r="C18" s="22">
        <f>D18+E18</f>
        <v>24696923</v>
      </c>
      <c r="D18" s="38">
        <f>D20+D19</f>
        <v>-22599221</v>
      </c>
      <c r="E18" s="38">
        <f>E20+E19</f>
        <v>47296144</v>
      </c>
      <c r="F18" s="38">
        <f>F20+F19</f>
        <v>46582186</v>
      </c>
    </row>
    <row r="19" spans="1:6" ht="15">
      <c r="A19" s="20">
        <v>208100</v>
      </c>
      <c r="B19" s="21" t="s">
        <v>396</v>
      </c>
      <c r="C19" s="22">
        <f>D19+E19</f>
        <v>24696923</v>
      </c>
      <c r="D19" s="38">
        <f>16262108+2345200+654823</f>
        <v>19262131</v>
      </c>
      <c r="E19" s="38">
        <v>5434792</v>
      </c>
      <c r="F19" s="38">
        <v>4720834</v>
      </c>
    </row>
    <row r="20" spans="1:6" ht="30.75" customHeight="1">
      <c r="A20" s="20">
        <v>208400</v>
      </c>
      <c r="B20" s="21" t="s">
        <v>321</v>
      </c>
      <c r="C20" s="22"/>
      <c r="D20" s="38">
        <f>-35917919-9547267-945200-640437-15300+5204771</f>
        <v>-41861352</v>
      </c>
      <c r="E20" s="38">
        <f>F20</f>
        <v>41861352</v>
      </c>
      <c r="F20" s="38">
        <f>35917919+9547267+945200+640437+15300-5204771</f>
        <v>41861352</v>
      </c>
    </row>
    <row r="21" spans="1:6" ht="16.5" customHeight="1">
      <c r="A21" s="23" t="s">
        <v>24</v>
      </c>
      <c r="B21" s="24" t="s">
        <v>13</v>
      </c>
      <c r="C21" s="25">
        <f>D21+E21</f>
        <v>24696923</v>
      </c>
      <c r="D21" s="39">
        <f>D17</f>
        <v>-22599221</v>
      </c>
      <c r="E21" s="39">
        <f>E17</f>
        <v>47296144</v>
      </c>
      <c r="F21" s="39">
        <f>F17</f>
        <v>46582186</v>
      </c>
    </row>
    <row r="22" spans="1:6" ht="13.5">
      <c r="A22" s="227" t="s">
        <v>322</v>
      </c>
      <c r="B22" s="228"/>
      <c r="C22" s="228"/>
      <c r="D22" s="228"/>
      <c r="E22" s="228"/>
      <c r="F22" s="229"/>
    </row>
    <row r="23" spans="1:6" ht="15">
      <c r="A23" s="20">
        <v>600000</v>
      </c>
      <c r="B23" s="21" t="s">
        <v>14</v>
      </c>
      <c r="C23" s="22">
        <f>D23+E23</f>
        <v>24696923</v>
      </c>
      <c r="D23" s="37">
        <f>D24</f>
        <v>-22599221</v>
      </c>
      <c r="E23" s="37">
        <f>E24</f>
        <v>47296144</v>
      </c>
      <c r="F23" s="37">
        <f>F24</f>
        <v>46582186</v>
      </c>
    </row>
    <row r="24" spans="1:6" ht="15">
      <c r="A24" s="20">
        <v>602000</v>
      </c>
      <c r="B24" s="21" t="s">
        <v>323</v>
      </c>
      <c r="C24" s="22">
        <f>D24+E24</f>
        <v>24696923</v>
      </c>
      <c r="D24" s="38">
        <f>D26+D25</f>
        <v>-22599221</v>
      </c>
      <c r="E24" s="38">
        <f>E26+E25</f>
        <v>47296144</v>
      </c>
      <c r="F24" s="38">
        <f>F26+F25</f>
        <v>46582186</v>
      </c>
    </row>
    <row r="25" spans="1:6" ht="15">
      <c r="A25" s="20">
        <v>602100</v>
      </c>
      <c r="B25" s="21" t="s">
        <v>396</v>
      </c>
      <c r="C25" s="22">
        <f>D25+E25</f>
        <v>24696923</v>
      </c>
      <c r="D25" s="38">
        <f>16262108+2345200+654823</f>
        <v>19262131</v>
      </c>
      <c r="E25" s="38">
        <v>5434792</v>
      </c>
      <c r="F25" s="38">
        <v>4720834</v>
      </c>
    </row>
    <row r="26" spans="1:6" ht="30" customHeight="1">
      <c r="A26" s="20">
        <v>602400</v>
      </c>
      <c r="B26" s="21" t="s">
        <v>321</v>
      </c>
      <c r="C26" s="22"/>
      <c r="D26" s="38">
        <f>-35917919-9547267-945200-640437-15300+5204771</f>
        <v>-41861352</v>
      </c>
      <c r="E26" s="38">
        <f>F26</f>
        <v>41861352</v>
      </c>
      <c r="F26" s="38">
        <f>35917919+9547267+945200+640437+15300-5204771</f>
        <v>41861352</v>
      </c>
    </row>
    <row r="27" spans="1:6" ht="15">
      <c r="A27" s="23" t="s">
        <v>24</v>
      </c>
      <c r="B27" s="24" t="s">
        <v>13</v>
      </c>
      <c r="C27" s="25">
        <f>D27+E27</f>
        <v>24696923</v>
      </c>
      <c r="D27" s="39">
        <f>D23</f>
        <v>-22599221</v>
      </c>
      <c r="E27" s="39">
        <f>E23</f>
        <v>47296144</v>
      </c>
      <c r="F27" s="39">
        <f>F23</f>
        <v>46582186</v>
      </c>
    </row>
    <row r="31" spans="1:5" ht="18">
      <c r="A31" s="30" t="s">
        <v>662</v>
      </c>
      <c r="B31" s="30"/>
      <c r="C31" s="30"/>
      <c r="D31" s="31"/>
      <c r="E31" s="30" t="s">
        <v>663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7"/>
  <sheetViews>
    <sheetView showZeros="0" showOutlineSymbols="0" zoomScale="70" zoomScaleNormal="70" zoomScalePageLayoutView="0" workbookViewId="0" topLeftCell="K2">
      <selection activeCell="M7" sqref="M7"/>
    </sheetView>
  </sheetViews>
  <sheetFormatPr defaultColWidth="9.125" defaultRowHeight="12.75"/>
  <cols>
    <col min="1" max="1" width="17.625" style="8" customWidth="1"/>
    <col min="2" max="2" width="18.125" style="8" customWidth="1"/>
    <col min="3" max="3" width="15.375" style="8" customWidth="1"/>
    <col min="4" max="4" width="46.00390625" style="8" customWidth="1"/>
    <col min="5" max="5" width="32.50390625" style="10" bestFit="1" customWidth="1"/>
    <col min="6" max="6" width="29.375" style="10" customWidth="1"/>
    <col min="7" max="7" width="32.50390625" style="10" bestFit="1" customWidth="1"/>
    <col min="8" max="8" width="30.625" style="10" bestFit="1" customWidth="1"/>
    <col min="9" max="9" width="14.875" style="10" customWidth="1"/>
    <col min="10" max="10" width="30.625" style="10" bestFit="1" customWidth="1"/>
    <col min="11" max="11" width="46.875" style="10" bestFit="1" customWidth="1"/>
    <col min="12" max="12" width="32.50390625" style="10" bestFit="1" customWidth="1"/>
    <col min="13" max="13" width="28.875" style="10" bestFit="1" customWidth="1"/>
    <col min="14" max="14" width="21.125" style="10" customWidth="1"/>
    <col min="15" max="15" width="27.50390625" style="10" bestFit="1" customWidth="1"/>
    <col min="16" max="16" width="32.50390625" style="10" bestFit="1" customWidth="1"/>
    <col min="17" max="16384" width="9.125" style="8" customWidth="1"/>
  </cols>
  <sheetData>
    <row r="1" ht="22.5" hidden="1"/>
    <row r="2" spans="1:16" ht="27.75">
      <c r="A2" s="236"/>
      <c r="B2" s="7"/>
      <c r="I2" s="11"/>
      <c r="K2" s="29"/>
      <c r="L2" s="29"/>
      <c r="M2" s="29"/>
      <c r="O2" s="44" t="s">
        <v>15</v>
      </c>
      <c r="P2" s="44"/>
    </row>
    <row r="3" spans="1:16" ht="27" customHeight="1">
      <c r="A3" s="236"/>
      <c r="B3" s="7"/>
      <c r="I3" s="11"/>
      <c r="K3" s="29"/>
      <c r="L3" s="29"/>
      <c r="M3" s="29"/>
      <c r="O3" s="44" t="s">
        <v>660</v>
      </c>
      <c r="P3" s="44"/>
    </row>
    <row r="4" spans="1:16" ht="27" customHeight="1">
      <c r="A4" s="236"/>
      <c r="B4" s="7"/>
      <c r="I4" s="11"/>
      <c r="K4" s="29"/>
      <c r="L4" s="29"/>
      <c r="M4" s="29"/>
      <c r="O4" s="45" t="s">
        <v>661</v>
      </c>
      <c r="P4" s="45"/>
    </row>
    <row r="5" spans="10:16" ht="27" customHeight="1">
      <c r="J5" s="8"/>
      <c r="K5" s="29"/>
      <c r="L5" s="29"/>
      <c r="M5" s="29"/>
      <c r="N5" s="8"/>
      <c r="O5" s="45" t="s">
        <v>666</v>
      </c>
      <c r="P5" s="45"/>
    </row>
    <row r="6" spans="10:16" ht="22.5" hidden="1">
      <c r="J6" s="4"/>
      <c r="K6" s="12"/>
      <c r="L6" s="12"/>
      <c r="M6" s="12"/>
      <c r="N6" s="12"/>
      <c r="O6" s="12"/>
      <c r="P6" s="12"/>
    </row>
    <row r="7" spans="10:16" ht="22.5">
      <c r="J7" s="4"/>
      <c r="K7" s="12"/>
      <c r="L7" s="12"/>
      <c r="M7" s="12"/>
      <c r="N7" s="12"/>
      <c r="O7" s="12"/>
      <c r="P7" s="12"/>
    </row>
    <row r="8" spans="1:16" s="30" customFormat="1" ht="27">
      <c r="A8" s="254" t="s">
        <v>351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spans="1:16" ht="21">
      <c r="A9" s="105">
        <v>21528000000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6.5" customHeight="1">
      <c r="A10" s="9" t="s">
        <v>25</v>
      </c>
    </row>
    <row r="11" ht="22.5">
      <c r="P11" s="13" t="s">
        <v>5</v>
      </c>
    </row>
    <row r="12" spans="1:16" ht="71.25" customHeight="1">
      <c r="A12" s="237" t="s">
        <v>27</v>
      </c>
      <c r="B12" s="239" t="s">
        <v>28</v>
      </c>
      <c r="C12" s="239" t="s">
        <v>16</v>
      </c>
      <c r="D12" s="239" t="s">
        <v>29</v>
      </c>
      <c r="E12" s="247" t="s">
        <v>8</v>
      </c>
      <c r="F12" s="248"/>
      <c r="G12" s="248"/>
      <c r="H12" s="248"/>
      <c r="I12" s="249"/>
      <c r="J12" s="247" t="s">
        <v>9</v>
      </c>
      <c r="K12" s="248"/>
      <c r="L12" s="248"/>
      <c r="M12" s="248"/>
      <c r="N12" s="248"/>
      <c r="O12" s="249"/>
      <c r="P12" s="241" t="s">
        <v>17</v>
      </c>
    </row>
    <row r="13" spans="1:16" ht="13.5" thickBot="1">
      <c r="A13" s="238"/>
      <c r="B13" s="240"/>
      <c r="C13" s="240"/>
      <c r="D13" s="240"/>
      <c r="E13" s="250"/>
      <c r="F13" s="251"/>
      <c r="G13" s="251"/>
      <c r="H13" s="251"/>
      <c r="I13" s="252"/>
      <c r="J13" s="250"/>
      <c r="K13" s="251"/>
      <c r="L13" s="251"/>
      <c r="M13" s="251"/>
      <c r="N13" s="251"/>
      <c r="O13" s="252"/>
      <c r="P13" s="242"/>
    </row>
    <row r="14" spans="1:16" ht="36" customHeight="1" thickBot="1">
      <c r="A14" s="238"/>
      <c r="B14" s="240"/>
      <c r="C14" s="240"/>
      <c r="D14" s="240"/>
      <c r="E14" s="245" t="s">
        <v>10</v>
      </c>
      <c r="F14" s="245" t="s">
        <v>18</v>
      </c>
      <c r="G14" s="243" t="s">
        <v>19</v>
      </c>
      <c r="H14" s="244"/>
      <c r="I14" s="245" t="s">
        <v>20</v>
      </c>
      <c r="J14" s="245" t="s">
        <v>10</v>
      </c>
      <c r="K14" s="245" t="s">
        <v>11</v>
      </c>
      <c r="L14" s="245" t="s">
        <v>18</v>
      </c>
      <c r="M14" s="243" t="s">
        <v>19</v>
      </c>
      <c r="N14" s="244"/>
      <c r="O14" s="245" t="s">
        <v>20</v>
      </c>
      <c r="P14" s="242"/>
    </row>
    <row r="15" spans="1:16" ht="54" thickBot="1">
      <c r="A15" s="238"/>
      <c r="B15" s="240"/>
      <c r="C15" s="240"/>
      <c r="D15" s="240"/>
      <c r="E15" s="246"/>
      <c r="F15" s="246"/>
      <c r="G15" s="53" t="s">
        <v>21</v>
      </c>
      <c r="H15" s="53" t="s">
        <v>22</v>
      </c>
      <c r="I15" s="246"/>
      <c r="J15" s="246"/>
      <c r="K15" s="246"/>
      <c r="L15" s="246"/>
      <c r="M15" s="53" t="s">
        <v>21</v>
      </c>
      <c r="N15" s="53" t="s">
        <v>22</v>
      </c>
      <c r="O15" s="246"/>
      <c r="P15" s="242"/>
    </row>
    <row r="16" spans="1:16" s="19" customFormat="1" ht="18" thickBot="1">
      <c r="A16" s="86">
        <v>1</v>
      </c>
      <c r="B16" s="87">
        <v>2</v>
      </c>
      <c r="C16" s="87">
        <v>3</v>
      </c>
      <c r="D16" s="87">
        <v>4</v>
      </c>
      <c r="E16" s="87">
        <v>5</v>
      </c>
      <c r="F16" s="87">
        <v>6</v>
      </c>
      <c r="G16" s="87">
        <v>7</v>
      </c>
      <c r="H16" s="87">
        <v>8</v>
      </c>
      <c r="I16" s="87">
        <v>9</v>
      </c>
      <c r="J16" s="87">
        <v>10</v>
      </c>
      <c r="K16" s="87">
        <v>11</v>
      </c>
      <c r="L16" s="87">
        <v>12</v>
      </c>
      <c r="M16" s="87">
        <v>13</v>
      </c>
      <c r="N16" s="87">
        <v>14</v>
      </c>
      <c r="O16" s="87">
        <v>15</v>
      </c>
      <c r="P16" s="88">
        <v>16</v>
      </c>
    </row>
    <row r="17" spans="1:16" s="15" customFormat="1" ht="72">
      <c r="A17" s="75" t="s">
        <v>30</v>
      </c>
      <c r="B17" s="75"/>
      <c r="C17" s="75"/>
      <c r="D17" s="54" t="s">
        <v>31</v>
      </c>
      <c r="E17" s="91">
        <f>E18</f>
        <v>117407085</v>
      </c>
      <c r="F17" s="91">
        <f aca="true" t="shared" si="0" ref="F17:O17">F18</f>
        <v>117407085</v>
      </c>
      <c r="G17" s="91">
        <f t="shared" si="0"/>
        <v>20659851</v>
      </c>
      <c r="H17" s="91">
        <f t="shared" si="0"/>
        <v>1035754</v>
      </c>
      <c r="I17" s="91">
        <f t="shared" si="0"/>
        <v>0</v>
      </c>
      <c r="J17" s="91">
        <f t="shared" si="0"/>
        <v>27904619</v>
      </c>
      <c r="K17" s="91">
        <f t="shared" si="0"/>
        <v>26914661</v>
      </c>
      <c r="L17" s="91">
        <f t="shared" si="0"/>
        <v>709958</v>
      </c>
      <c r="M17" s="91">
        <f t="shared" si="0"/>
        <v>18300</v>
      </c>
      <c r="N17" s="91">
        <f t="shared" si="0"/>
        <v>12590</v>
      </c>
      <c r="O17" s="91">
        <f t="shared" si="0"/>
        <v>27194661</v>
      </c>
      <c r="P17" s="91">
        <f>E17+J17</f>
        <v>145311704</v>
      </c>
    </row>
    <row r="18" spans="1:16" s="15" customFormat="1" ht="76.5" customHeight="1">
      <c r="A18" s="76" t="s">
        <v>32</v>
      </c>
      <c r="B18" s="76"/>
      <c r="C18" s="76"/>
      <c r="D18" s="55" t="s">
        <v>31</v>
      </c>
      <c r="E18" s="92">
        <f>E19+E23+E25+E32+E33+E34+E40+E41+E42+E43+E44+E45+E47+E48+E49+E50+E51+E52+E53+E54+E55+E56+E57+E59+E60+E61+E62+E63+E64+E65+E66+E58</f>
        <v>117407085</v>
      </c>
      <c r="F18" s="92">
        <f>F19+F23+F25+F32+F33+F34+F40+F41+F42+F43+F44+F45+F47+F48+F49+F50+F51+F52+F53+F54+F55+F56+F57+F59+F60+F61+F62+F63+F64+F65+F66+F58</f>
        <v>117407085</v>
      </c>
      <c r="G18" s="92">
        <f aca="true" t="shared" si="1" ref="G18:M18">G19+G23+G25+G32+G33+G34+G40+G41+G42+G43+G44+G45+G47+G48+G49+G50+G51+G52+G53+G54+G55+G56+G57+G59+G60+G61+G62+G63+G64+G65+G66+G58</f>
        <v>20659851</v>
      </c>
      <c r="H18" s="92">
        <f t="shared" si="1"/>
        <v>1035754</v>
      </c>
      <c r="I18" s="92">
        <f t="shared" si="1"/>
        <v>0</v>
      </c>
      <c r="J18" s="92">
        <f t="shared" si="1"/>
        <v>27904619</v>
      </c>
      <c r="K18" s="92">
        <f t="shared" si="1"/>
        <v>26914661</v>
      </c>
      <c r="L18" s="92">
        <f t="shared" si="1"/>
        <v>709958</v>
      </c>
      <c r="M18" s="92">
        <f t="shared" si="1"/>
        <v>18300</v>
      </c>
      <c r="N18" s="92">
        <f>N19+N23+N25+N32+N33+N34+N40+N41+N42+N43+N44+N45+N47+N48+N49+N50+N51+N52+N53+N54+N55+N56+N57+N59+N60+N61+N62+N63+N64+N65+N66+N58</f>
        <v>12590</v>
      </c>
      <c r="O18" s="92">
        <f>O19+O23+O25+O32+O33+O34+O40+O41+O42+O43+O44+O45+O47+O48+O49+O50+O51+O52+O53+O54+O55+O56+O57+O59+O60+O61+O62+O63+O64+O65+O66+O58</f>
        <v>27194661</v>
      </c>
      <c r="P18" s="92">
        <f aca="true" t="shared" si="2" ref="P18:P100">E18+J18</f>
        <v>145311704</v>
      </c>
    </row>
    <row r="19" spans="1:16" ht="230.25" customHeight="1">
      <c r="A19" s="77" t="s">
        <v>33</v>
      </c>
      <c r="B19" s="77" t="s">
        <v>34</v>
      </c>
      <c r="C19" s="77" t="s">
        <v>35</v>
      </c>
      <c r="D19" s="56" t="s">
        <v>36</v>
      </c>
      <c r="E19" s="93">
        <f>F19</f>
        <v>22939023</v>
      </c>
      <c r="F19" s="93">
        <f>F21+F22</f>
        <v>22939023</v>
      </c>
      <c r="G19" s="93">
        <f aca="true" t="shared" si="3" ref="G19:N19">G21+G22</f>
        <v>19954375</v>
      </c>
      <c r="H19" s="93">
        <f t="shared" si="3"/>
        <v>977510</v>
      </c>
      <c r="I19" s="93">
        <f t="shared" si="3"/>
        <v>0</v>
      </c>
      <c r="J19" s="93">
        <f>L19+O19</f>
        <v>198410</v>
      </c>
      <c r="K19" s="94">
        <f>K21+K22</f>
        <v>190410</v>
      </c>
      <c r="L19" s="93">
        <f t="shared" si="3"/>
        <v>8000</v>
      </c>
      <c r="M19" s="93">
        <f t="shared" si="3"/>
        <v>0</v>
      </c>
      <c r="N19" s="93">
        <f t="shared" si="3"/>
        <v>0</v>
      </c>
      <c r="O19" s="93">
        <f>K19</f>
        <v>190410</v>
      </c>
      <c r="P19" s="94">
        <f t="shared" si="2"/>
        <v>23137433</v>
      </c>
    </row>
    <row r="20" spans="1:16" ht="24">
      <c r="A20" s="77"/>
      <c r="B20" s="77"/>
      <c r="C20" s="77"/>
      <c r="D20" s="56" t="s">
        <v>37</v>
      </c>
      <c r="E20" s="94"/>
      <c r="F20" s="94"/>
      <c r="G20" s="94"/>
      <c r="H20" s="94"/>
      <c r="I20" s="94"/>
      <c r="J20" s="93">
        <f aca="true" t="shared" si="4" ref="J20:J103">L20+O20</f>
        <v>0</v>
      </c>
      <c r="K20" s="94"/>
      <c r="L20" s="94"/>
      <c r="M20" s="94"/>
      <c r="N20" s="94"/>
      <c r="O20" s="93">
        <f aca="true" t="shared" si="5" ref="O20:O103">K20</f>
        <v>0</v>
      </c>
      <c r="P20" s="94">
        <f t="shared" si="2"/>
        <v>0</v>
      </c>
    </row>
    <row r="21" spans="1:16" ht="73.5">
      <c r="A21" s="77"/>
      <c r="B21" s="77"/>
      <c r="C21" s="77"/>
      <c r="D21" s="57" t="s">
        <v>38</v>
      </c>
      <c r="E21" s="94">
        <f>F21</f>
        <v>20907806</v>
      </c>
      <c r="F21" s="94">
        <f>19539476+834905+198326+43515+157990+71594+62000</f>
        <v>20907806</v>
      </c>
      <c r="G21" s="94">
        <f>17654353+834905</f>
        <v>18489258</v>
      </c>
      <c r="H21" s="94">
        <v>710923</v>
      </c>
      <c r="I21" s="94"/>
      <c r="J21" s="93">
        <f t="shared" si="4"/>
        <v>190410</v>
      </c>
      <c r="K21" s="94">
        <f>180650+9760</f>
        <v>190410</v>
      </c>
      <c r="L21" s="94"/>
      <c r="M21" s="94"/>
      <c r="N21" s="94"/>
      <c r="O21" s="93">
        <f t="shared" si="5"/>
        <v>190410</v>
      </c>
      <c r="P21" s="94">
        <f t="shared" si="2"/>
        <v>21098216</v>
      </c>
    </row>
    <row r="22" spans="1:16" ht="73.5">
      <c r="A22" s="77"/>
      <c r="B22" s="77"/>
      <c r="C22" s="77"/>
      <c r="D22" s="57" t="s">
        <v>39</v>
      </c>
      <c r="E22" s="94">
        <f>F22</f>
        <v>2031217</v>
      </c>
      <c r="F22" s="94">
        <f>1964545+66672</f>
        <v>2031217</v>
      </c>
      <c r="G22" s="94">
        <f>1398445+66672</f>
        <v>1465117</v>
      </c>
      <c r="H22" s="94">
        <v>266587</v>
      </c>
      <c r="I22" s="94"/>
      <c r="J22" s="93">
        <f t="shared" si="4"/>
        <v>8000</v>
      </c>
      <c r="K22" s="94"/>
      <c r="L22" s="94">
        <v>8000</v>
      </c>
      <c r="M22" s="94"/>
      <c r="N22" s="94"/>
      <c r="O22" s="93">
        <f t="shared" si="5"/>
        <v>0</v>
      </c>
      <c r="P22" s="94">
        <f t="shared" si="2"/>
        <v>2039217</v>
      </c>
    </row>
    <row r="23" spans="1:16" ht="48.75">
      <c r="A23" s="77" t="s">
        <v>40</v>
      </c>
      <c r="B23" s="77" t="s">
        <v>41</v>
      </c>
      <c r="C23" s="77" t="s">
        <v>42</v>
      </c>
      <c r="D23" s="57" t="s">
        <v>43</v>
      </c>
      <c r="E23" s="94">
        <f>F23</f>
        <v>759115</v>
      </c>
      <c r="F23" s="94">
        <f>F24</f>
        <v>759115</v>
      </c>
      <c r="G23" s="94">
        <f aca="true" t="shared" si="6" ref="G23:N23">G24</f>
        <v>696836</v>
      </c>
      <c r="H23" s="94">
        <f t="shared" si="6"/>
        <v>58244</v>
      </c>
      <c r="I23" s="94">
        <f t="shared" si="6"/>
        <v>0</v>
      </c>
      <c r="J23" s="94">
        <f t="shared" si="6"/>
        <v>56000</v>
      </c>
      <c r="K23" s="94">
        <f t="shared" si="6"/>
        <v>0</v>
      </c>
      <c r="L23" s="94">
        <f t="shared" si="6"/>
        <v>56000</v>
      </c>
      <c r="M23" s="94">
        <f t="shared" si="6"/>
        <v>18300</v>
      </c>
      <c r="N23" s="94">
        <f t="shared" si="6"/>
        <v>12590</v>
      </c>
      <c r="O23" s="93">
        <f t="shared" si="5"/>
        <v>0</v>
      </c>
      <c r="P23" s="94">
        <f t="shared" si="2"/>
        <v>815115</v>
      </c>
    </row>
    <row r="24" spans="1:16" ht="98.25">
      <c r="A24" s="60"/>
      <c r="B24" s="60"/>
      <c r="C24" s="60"/>
      <c r="D24" s="57" t="s">
        <v>44</v>
      </c>
      <c r="E24" s="94">
        <f>F24</f>
        <v>759115</v>
      </c>
      <c r="F24" s="94">
        <v>759115</v>
      </c>
      <c r="G24" s="94">
        <v>696836</v>
      </c>
      <c r="H24" s="94">
        <v>58244</v>
      </c>
      <c r="I24" s="94"/>
      <c r="J24" s="93">
        <f t="shared" si="4"/>
        <v>56000</v>
      </c>
      <c r="K24" s="94"/>
      <c r="L24" s="94">
        <v>56000</v>
      </c>
      <c r="M24" s="94">
        <v>18300</v>
      </c>
      <c r="N24" s="94">
        <v>12590</v>
      </c>
      <c r="O24" s="93">
        <f t="shared" si="5"/>
        <v>0</v>
      </c>
      <c r="P24" s="94">
        <f t="shared" si="2"/>
        <v>815115</v>
      </c>
    </row>
    <row r="25" spans="1:16" ht="73.5">
      <c r="A25" s="77" t="s">
        <v>45</v>
      </c>
      <c r="B25" s="77" t="s">
        <v>46</v>
      </c>
      <c r="C25" s="77" t="s">
        <v>47</v>
      </c>
      <c r="D25" s="57" t="s">
        <v>48</v>
      </c>
      <c r="E25" s="94">
        <f>E31+E27</f>
        <v>28802956</v>
      </c>
      <c r="F25" s="94">
        <f>F31+F27</f>
        <v>28802956</v>
      </c>
      <c r="G25" s="94">
        <f>G31+G27</f>
        <v>0</v>
      </c>
      <c r="H25" s="94">
        <f>H31+H27</f>
        <v>0</v>
      </c>
      <c r="I25" s="94">
        <f>I31+I27</f>
        <v>0</v>
      </c>
      <c r="J25" s="93">
        <f aca="true" t="shared" si="7" ref="J25:O25">J27+J28+J29+J30+J31</f>
        <v>5594400</v>
      </c>
      <c r="K25" s="93">
        <f t="shared" si="7"/>
        <v>5594400</v>
      </c>
      <c r="L25" s="93">
        <f t="shared" si="7"/>
        <v>0</v>
      </c>
      <c r="M25" s="93">
        <f t="shared" si="7"/>
        <v>0</v>
      </c>
      <c r="N25" s="93">
        <f t="shared" si="7"/>
        <v>0</v>
      </c>
      <c r="O25" s="93">
        <f t="shared" si="7"/>
        <v>5594400</v>
      </c>
      <c r="P25" s="94">
        <f t="shared" si="2"/>
        <v>34397356</v>
      </c>
    </row>
    <row r="26" spans="1:16" ht="24" hidden="1">
      <c r="A26" s="77"/>
      <c r="B26" s="77"/>
      <c r="C26" s="77"/>
      <c r="D26" s="57" t="s">
        <v>37</v>
      </c>
      <c r="E26" s="94"/>
      <c r="F26" s="94"/>
      <c r="G26" s="94"/>
      <c r="H26" s="94"/>
      <c r="I26" s="94"/>
      <c r="J26" s="93">
        <f t="shared" si="4"/>
        <v>0</v>
      </c>
      <c r="K26" s="94"/>
      <c r="L26" s="94"/>
      <c r="M26" s="94"/>
      <c r="N26" s="94"/>
      <c r="O26" s="93">
        <f t="shared" si="5"/>
        <v>0</v>
      </c>
      <c r="P26" s="94">
        <f t="shared" si="2"/>
        <v>0</v>
      </c>
    </row>
    <row r="27" spans="1:16" ht="48.75" hidden="1">
      <c r="A27" s="77"/>
      <c r="B27" s="77"/>
      <c r="C27" s="77"/>
      <c r="D27" s="57" t="s">
        <v>49</v>
      </c>
      <c r="E27" s="94">
        <f>F27+I27</f>
        <v>13792455</v>
      </c>
      <c r="F27" s="94">
        <f>13792400+55</f>
        <v>13792455</v>
      </c>
      <c r="G27" s="94"/>
      <c r="H27" s="94"/>
      <c r="I27" s="94"/>
      <c r="J27" s="93">
        <f t="shared" si="4"/>
        <v>0</v>
      </c>
      <c r="K27" s="94"/>
      <c r="L27" s="94"/>
      <c r="M27" s="94"/>
      <c r="N27" s="94"/>
      <c r="O27" s="93">
        <f t="shared" si="5"/>
        <v>0</v>
      </c>
      <c r="P27" s="94">
        <f t="shared" si="2"/>
        <v>13792455</v>
      </c>
    </row>
    <row r="28" spans="1:16" ht="221.25" hidden="1">
      <c r="A28" s="77"/>
      <c r="B28" s="77"/>
      <c r="C28" s="77"/>
      <c r="D28" s="57" t="s">
        <v>50</v>
      </c>
      <c r="E28" s="94"/>
      <c r="F28" s="94"/>
      <c r="G28" s="94"/>
      <c r="H28" s="94"/>
      <c r="I28" s="94"/>
      <c r="J28" s="93">
        <f t="shared" si="4"/>
        <v>0</v>
      </c>
      <c r="K28" s="94"/>
      <c r="L28" s="94"/>
      <c r="M28" s="94"/>
      <c r="N28" s="94"/>
      <c r="O28" s="93">
        <f t="shared" si="5"/>
        <v>0</v>
      </c>
      <c r="P28" s="94">
        <f t="shared" si="2"/>
        <v>0</v>
      </c>
    </row>
    <row r="29" spans="1:16" ht="123" hidden="1">
      <c r="A29" s="77"/>
      <c r="B29" s="77"/>
      <c r="C29" s="77"/>
      <c r="D29" s="58" t="s">
        <v>51</v>
      </c>
      <c r="E29" s="94"/>
      <c r="F29" s="94"/>
      <c r="G29" s="94"/>
      <c r="H29" s="94"/>
      <c r="I29" s="94"/>
      <c r="J29" s="93">
        <f t="shared" si="4"/>
        <v>0</v>
      </c>
      <c r="K29" s="94"/>
      <c r="L29" s="94"/>
      <c r="M29" s="94"/>
      <c r="N29" s="94"/>
      <c r="O29" s="93">
        <f t="shared" si="5"/>
        <v>0</v>
      </c>
      <c r="P29" s="94">
        <f t="shared" si="2"/>
        <v>0</v>
      </c>
    </row>
    <row r="30" spans="1:16" ht="221.25" hidden="1">
      <c r="A30" s="77"/>
      <c r="B30" s="77"/>
      <c r="C30" s="77"/>
      <c r="D30" s="59" t="s">
        <v>50</v>
      </c>
      <c r="E30" s="94"/>
      <c r="F30" s="94"/>
      <c r="G30" s="94"/>
      <c r="H30" s="94"/>
      <c r="I30" s="94"/>
      <c r="J30" s="93">
        <f t="shared" si="4"/>
        <v>0</v>
      </c>
      <c r="K30" s="94"/>
      <c r="L30" s="94"/>
      <c r="M30" s="94"/>
      <c r="N30" s="94"/>
      <c r="O30" s="93">
        <f t="shared" si="5"/>
        <v>0</v>
      </c>
      <c r="P30" s="94">
        <f t="shared" si="2"/>
        <v>0</v>
      </c>
    </row>
    <row r="31" spans="1:16" ht="24" hidden="1">
      <c r="A31" s="77"/>
      <c r="B31" s="77"/>
      <c r="C31" s="77"/>
      <c r="D31" s="57" t="s">
        <v>52</v>
      </c>
      <c r="E31" s="94">
        <f>F31</f>
        <v>15010501</v>
      </c>
      <c r="F31" s="94">
        <f>10009603-20539+1098750+183938+400000+654823+135494+750000+137200+169202+71920+750000+20110+650000</f>
        <v>15010501</v>
      </c>
      <c r="G31" s="94"/>
      <c r="H31" s="94"/>
      <c r="I31" s="94"/>
      <c r="J31" s="93">
        <f t="shared" si="4"/>
        <v>5594400</v>
      </c>
      <c r="K31" s="94">
        <f>4727000+767500+99900+945200-945200</f>
        <v>5594400</v>
      </c>
      <c r="L31" s="94"/>
      <c r="M31" s="94"/>
      <c r="N31" s="94"/>
      <c r="O31" s="93">
        <f t="shared" si="5"/>
        <v>5594400</v>
      </c>
      <c r="P31" s="94">
        <f t="shared" si="2"/>
        <v>20604901</v>
      </c>
    </row>
    <row r="32" spans="1:16" ht="123">
      <c r="A32" s="77" t="s">
        <v>57</v>
      </c>
      <c r="B32" s="77" t="s">
        <v>58</v>
      </c>
      <c r="C32" s="77" t="s">
        <v>59</v>
      </c>
      <c r="D32" s="57" t="s">
        <v>60</v>
      </c>
      <c r="E32" s="94">
        <f>F32</f>
        <v>978844</v>
      </c>
      <c r="F32" s="94">
        <f>680360+49908+13500+77015+58061+100000</f>
        <v>978844</v>
      </c>
      <c r="G32" s="94"/>
      <c r="H32" s="94"/>
      <c r="I32" s="94"/>
      <c r="J32" s="93">
        <f t="shared" si="4"/>
        <v>48000</v>
      </c>
      <c r="K32" s="94">
        <f>48000</f>
        <v>48000</v>
      </c>
      <c r="L32" s="94"/>
      <c r="M32" s="94"/>
      <c r="N32" s="94"/>
      <c r="O32" s="93">
        <f t="shared" si="5"/>
        <v>48000</v>
      </c>
      <c r="P32" s="94">
        <f t="shared" si="2"/>
        <v>1026844</v>
      </c>
    </row>
    <row r="33" spans="1:16" ht="98.25">
      <c r="A33" s="77" t="s">
        <v>326</v>
      </c>
      <c r="B33" s="77" t="s">
        <v>327</v>
      </c>
      <c r="C33" s="77" t="s">
        <v>55</v>
      </c>
      <c r="D33" s="57" t="s">
        <v>328</v>
      </c>
      <c r="E33" s="94">
        <f>F33</f>
        <v>649918</v>
      </c>
      <c r="F33" s="94">
        <f>432000+217918</f>
        <v>649918</v>
      </c>
      <c r="G33" s="94"/>
      <c r="H33" s="94"/>
      <c r="I33" s="94"/>
      <c r="J33" s="93"/>
      <c r="K33" s="94"/>
      <c r="L33" s="94"/>
      <c r="M33" s="94"/>
      <c r="N33" s="94"/>
      <c r="O33" s="93"/>
      <c r="P33" s="94">
        <f t="shared" si="2"/>
        <v>649918</v>
      </c>
    </row>
    <row r="34" spans="1:16" ht="48.75">
      <c r="A34" s="77" t="s">
        <v>53</v>
      </c>
      <c r="B34" s="77" t="s">
        <v>54</v>
      </c>
      <c r="C34" s="77" t="s">
        <v>55</v>
      </c>
      <c r="D34" s="57" t="s">
        <v>56</v>
      </c>
      <c r="E34" s="94">
        <f aca="true" t="shared" si="8" ref="E34:O34">SUM(E35:E39)</f>
        <v>6971519</v>
      </c>
      <c r="F34" s="94">
        <f t="shared" si="8"/>
        <v>6971519</v>
      </c>
      <c r="G34" s="94">
        <f t="shared" si="8"/>
        <v>0</v>
      </c>
      <c r="H34" s="94">
        <f t="shared" si="8"/>
        <v>0</v>
      </c>
      <c r="I34" s="94">
        <f t="shared" si="8"/>
        <v>0</v>
      </c>
      <c r="J34" s="94">
        <f t="shared" si="8"/>
        <v>0</v>
      </c>
      <c r="K34" s="94">
        <f t="shared" si="8"/>
        <v>0</v>
      </c>
      <c r="L34" s="94">
        <f t="shared" si="8"/>
        <v>0</v>
      </c>
      <c r="M34" s="94">
        <f t="shared" si="8"/>
        <v>0</v>
      </c>
      <c r="N34" s="94">
        <f t="shared" si="8"/>
        <v>0</v>
      </c>
      <c r="O34" s="94">
        <f t="shared" si="8"/>
        <v>0</v>
      </c>
      <c r="P34" s="94">
        <f t="shared" si="2"/>
        <v>6971519</v>
      </c>
    </row>
    <row r="35" spans="1:16" ht="24" hidden="1">
      <c r="A35" s="60"/>
      <c r="B35" s="60"/>
      <c r="C35" s="60"/>
      <c r="D35" s="60" t="s">
        <v>61</v>
      </c>
      <c r="E35" s="94">
        <f aca="true" t="shared" si="9" ref="E35:E42">F35</f>
        <v>1199000</v>
      </c>
      <c r="F35" s="94">
        <f>1000000+199000</f>
        <v>1199000</v>
      </c>
      <c r="G35" s="94"/>
      <c r="H35" s="94"/>
      <c r="I35" s="94"/>
      <c r="J35" s="93">
        <f t="shared" si="4"/>
        <v>0</v>
      </c>
      <c r="K35" s="94"/>
      <c r="L35" s="94"/>
      <c r="M35" s="94"/>
      <c r="N35" s="94"/>
      <c r="O35" s="93">
        <f t="shared" si="5"/>
        <v>0</v>
      </c>
      <c r="P35" s="94">
        <f t="shared" si="2"/>
        <v>1199000</v>
      </c>
    </row>
    <row r="36" spans="1:16" ht="24" hidden="1">
      <c r="A36" s="60"/>
      <c r="B36" s="60"/>
      <c r="C36" s="60"/>
      <c r="D36" s="60" t="s">
        <v>62</v>
      </c>
      <c r="E36" s="94">
        <f t="shared" si="9"/>
        <v>5470019</v>
      </c>
      <c r="F36" s="94">
        <f>5010600-476620+100000+106039+600000+130000</f>
        <v>5470019</v>
      </c>
      <c r="G36" s="94"/>
      <c r="H36" s="94"/>
      <c r="I36" s="94"/>
      <c r="J36" s="93">
        <f t="shared" si="4"/>
        <v>0</v>
      </c>
      <c r="K36" s="94"/>
      <c r="L36" s="94"/>
      <c r="M36" s="94"/>
      <c r="N36" s="94"/>
      <c r="O36" s="93">
        <f t="shared" si="5"/>
        <v>0</v>
      </c>
      <c r="P36" s="94">
        <f t="shared" si="2"/>
        <v>5470019</v>
      </c>
    </row>
    <row r="37" spans="1:16" ht="24" hidden="1">
      <c r="A37" s="60"/>
      <c r="B37" s="60"/>
      <c r="C37" s="60"/>
      <c r="D37" s="60" t="s">
        <v>376</v>
      </c>
      <c r="E37" s="94">
        <f t="shared" si="9"/>
        <v>80000</v>
      </c>
      <c r="F37" s="94">
        <f>80000</f>
        <v>80000</v>
      </c>
      <c r="G37" s="94"/>
      <c r="H37" s="94"/>
      <c r="I37" s="94"/>
      <c r="J37" s="93"/>
      <c r="K37" s="94"/>
      <c r="L37" s="94"/>
      <c r="M37" s="94"/>
      <c r="N37" s="94"/>
      <c r="O37" s="93"/>
      <c r="P37" s="94"/>
    </row>
    <row r="38" spans="1:16" ht="48.75" hidden="1">
      <c r="A38" s="60"/>
      <c r="B38" s="60"/>
      <c r="C38" s="60"/>
      <c r="D38" s="60" t="s">
        <v>377</v>
      </c>
      <c r="E38" s="94">
        <f t="shared" si="9"/>
        <v>100000</v>
      </c>
      <c r="F38" s="94">
        <v>100000</v>
      </c>
      <c r="G38" s="94"/>
      <c r="H38" s="94"/>
      <c r="I38" s="94"/>
      <c r="J38" s="93"/>
      <c r="K38" s="94"/>
      <c r="L38" s="94"/>
      <c r="M38" s="94"/>
      <c r="N38" s="94"/>
      <c r="O38" s="93"/>
      <c r="P38" s="94"/>
    </row>
    <row r="39" spans="1:16" ht="24" hidden="1">
      <c r="A39" s="60"/>
      <c r="B39" s="60"/>
      <c r="C39" s="60"/>
      <c r="D39" s="60" t="s">
        <v>395</v>
      </c>
      <c r="E39" s="94">
        <f>F39</f>
        <v>122500</v>
      </c>
      <c r="F39" s="94">
        <v>122500</v>
      </c>
      <c r="G39" s="94"/>
      <c r="H39" s="94"/>
      <c r="I39" s="94"/>
      <c r="J39" s="93"/>
      <c r="K39" s="94"/>
      <c r="L39" s="94"/>
      <c r="M39" s="94"/>
      <c r="N39" s="94"/>
      <c r="O39" s="93"/>
      <c r="P39" s="94"/>
    </row>
    <row r="40" spans="1:16" ht="73.5">
      <c r="A40" s="77" t="s">
        <v>63</v>
      </c>
      <c r="B40" s="77" t="s">
        <v>64</v>
      </c>
      <c r="C40" s="78" t="s">
        <v>65</v>
      </c>
      <c r="D40" s="56" t="s">
        <v>66</v>
      </c>
      <c r="E40" s="94">
        <f t="shared" si="9"/>
        <v>5000</v>
      </c>
      <c r="F40" s="94">
        <v>5000</v>
      </c>
      <c r="G40" s="94"/>
      <c r="H40" s="94"/>
      <c r="I40" s="94"/>
      <c r="J40" s="93">
        <f t="shared" si="4"/>
        <v>0</v>
      </c>
      <c r="K40" s="94"/>
      <c r="L40" s="94"/>
      <c r="M40" s="94"/>
      <c r="N40" s="94"/>
      <c r="O40" s="93">
        <f t="shared" si="5"/>
        <v>0</v>
      </c>
      <c r="P40" s="94">
        <f t="shared" si="2"/>
        <v>5000</v>
      </c>
    </row>
    <row r="41" spans="1:16" ht="73.5">
      <c r="A41" s="77" t="s">
        <v>67</v>
      </c>
      <c r="B41" s="77" t="s">
        <v>68</v>
      </c>
      <c r="C41" s="77" t="s">
        <v>69</v>
      </c>
      <c r="D41" s="57" t="s">
        <v>70</v>
      </c>
      <c r="E41" s="94">
        <f t="shared" si="9"/>
        <v>126000</v>
      </c>
      <c r="F41" s="94">
        <f>94000+32000</f>
        <v>126000</v>
      </c>
      <c r="G41" s="94"/>
      <c r="H41" s="94"/>
      <c r="I41" s="94"/>
      <c r="J41" s="93">
        <f t="shared" si="4"/>
        <v>0</v>
      </c>
      <c r="K41" s="94"/>
      <c r="L41" s="94"/>
      <c r="M41" s="94"/>
      <c r="N41" s="94"/>
      <c r="O41" s="93">
        <f t="shared" si="5"/>
        <v>0</v>
      </c>
      <c r="P41" s="94">
        <f t="shared" si="2"/>
        <v>126000</v>
      </c>
    </row>
    <row r="42" spans="1:16" ht="48.75">
      <c r="A42" s="77" t="s">
        <v>378</v>
      </c>
      <c r="B42" s="77" t="s">
        <v>367</v>
      </c>
      <c r="C42" s="77" t="s">
        <v>368</v>
      </c>
      <c r="D42" s="57" t="s">
        <v>369</v>
      </c>
      <c r="E42" s="94">
        <f t="shared" si="9"/>
        <v>89320</v>
      </c>
      <c r="F42" s="94">
        <v>89320</v>
      </c>
      <c r="G42" s="94">
        <v>8640</v>
      </c>
      <c r="H42" s="94"/>
      <c r="I42" s="94"/>
      <c r="J42" s="93"/>
      <c r="K42" s="94"/>
      <c r="L42" s="94"/>
      <c r="M42" s="94"/>
      <c r="N42" s="94"/>
      <c r="O42" s="93"/>
      <c r="P42" s="94">
        <f t="shared" si="2"/>
        <v>89320</v>
      </c>
    </row>
    <row r="43" spans="1:16" ht="73.5">
      <c r="A43" s="77" t="s">
        <v>71</v>
      </c>
      <c r="B43" s="77" t="s">
        <v>72</v>
      </c>
      <c r="C43" s="77" t="s">
        <v>73</v>
      </c>
      <c r="D43" s="61" t="s">
        <v>74</v>
      </c>
      <c r="E43" s="94">
        <f aca="true" t="shared" si="10" ref="E43:E66">F43</f>
        <v>800000</v>
      </c>
      <c r="F43" s="94">
        <v>800000</v>
      </c>
      <c r="G43" s="94"/>
      <c r="H43" s="94"/>
      <c r="I43" s="94"/>
      <c r="J43" s="93">
        <f t="shared" si="4"/>
        <v>0</v>
      </c>
      <c r="K43" s="94"/>
      <c r="L43" s="94"/>
      <c r="M43" s="94"/>
      <c r="N43" s="94"/>
      <c r="O43" s="93">
        <f t="shared" si="5"/>
        <v>0</v>
      </c>
      <c r="P43" s="94">
        <f t="shared" si="2"/>
        <v>800000</v>
      </c>
    </row>
    <row r="44" spans="1:16" ht="98.25">
      <c r="A44" s="77" t="s">
        <v>75</v>
      </c>
      <c r="B44" s="77" t="s">
        <v>76</v>
      </c>
      <c r="C44" s="77" t="s">
        <v>77</v>
      </c>
      <c r="D44" s="57" t="s">
        <v>78</v>
      </c>
      <c r="E44" s="94">
        <f t="shared" si="10"/>
        <v>253522</v>
      </c>
      <c r="F44" s="94">
        <v>253522</v>
      </c>
      <c r="G44" s="94"/>
      <c r="H44" s="94"/>
      <c r="I44" s="94"/>
      <c r="J44" s="93">
        <f t="shared" si="4"/>
        <v>0</v>
      </c>
      <c r="K44" s="103"/>
      <c r="L44" s="94"/>
      <c r="M44" s="94"/>
      <c r="N44" s="94"/>
      <c r="O44" s="93">
        <f t="shared" si="5"/>
        <v>0</v>
      </c>
      <c r="P44" s="94">
        <f t="shared" si="2"/>
        <v>253522</v>
      </c>
    </row>
    <row r="45" spans="1:16" ht="48.75">
      <c r="A45" s="77" t="s">
        <v>79</v>
      </c>
      <c r="B45" s="77" t="s">
        <v>80</v>
      </c>
      <c r="C45" s="77" t="s">
        <v>77</v>
      </c>
      <c r="D45" s="57" t="s">
        <v>81</v>
      </c>
      <c r="E45" s="94">
        <f t="shared" si="10"/>
        <v>1684800</v>
      </c>
      <c r="F45" s="94">
        <f>1184800+500000</f>
        <v>1684800</v>
      </c>
      <c r="G45" s="94"/>
      <c r="H45" s="94"/>
      <c r="I45" s="94"/>
      <c r="J45" s="93">
        <f t="shared" si="4"/>
        <v>0</v>
      </c>
      <c r="K45" s="94"/>
      <c r="L45" s="94"/>
      <c r="M45" s="94"/>
      <c r="N45" s="94"/>
      <c r="O45" s="93">
        <f t="shared" si="5"/>
        <v>0</v>
      </c>
      <c r="P45" s="94">
        <f t="shared" si="2"/>
        <v>1684800</v>
      </c>
    </row>
    <row r="46" spans="1:16" ht="73.5" hidden="1">
      <c r="A46" s="77" t="s">
        <v>309</v>
      </c>
      <c r="B46" s="77" t="s">
        <v>310</v>
      </c>
      <c r="C46" s="77" t="s">
        <v>77</v>
      </c>
      <c r="D46" s="57" t="s">
        <v>311</v>
      </c>
      <c r="E46" s="94"/>
      <c r="F46" s="94"/>
      <c r="G46" s="94"/>
      <c r="H46" s="94"/>
      <c r="I46" s="94"/>
      <c r="J46" s="93">
        <f>L46+O46</f>
        <v>0</v>
      </c>
      <c r="K46" s="103"/>
      <c r="L46" s="94"/>
      <c r="M46" s="94"/>
      <c r="N46" s="94"/>
      <c r="O46" s="93">
        <f>K46</f>
        <v>0</v>
      </c>
      <c r="P46" s="94">
        <f>E46+J46</f>
        <v>0</v>
      </c>
    </row>
    <row r="47" spans="1:16" ht="98.25">
      <c r="A47" s="77" t="s">
        <v>82</v>
      </c>
      <c r="B47" s="77" t="s">
        <v>83</v>
      </c>
      <c r="C47" s="77" t="s">
        <v>77</v>
      </c>
      <c r="D47" s="57" t="s">
        <v>84</v>
      </c>
      <c r="E47" s="94">
        <f t="shared" si="10"/>
        <v>2000000</v>
      </c>
      <c r="F47" s="94">
        <v>2000000</v>
      </c>
      <c r="G47" s="94"/>
      <c r="H47" s="94"/>
      <c r="I47" s="94"/>
      <c r="J47" s="93">
        <f t="shared" si="4"/>
        <v>0</v>
      </c>
      <c r="K47" s="94"/>
      <c r="L47" s="94"/>
      <c r="M47" s="94"/>
      <c r="N47" s="94"/>
      <c r="O47" s="93">
        <f t="shared" si="5"/>
        <v>0</v>
      </c>
      <c r="P47" s="94">
        <f t="shared" si="2"/>
        <v>2000000</v>
      </c>
    </row>
    <row r="48" spans="1:16" ht="171.75">
      <c r="A48" s="77" t="s">
        <v>85</v>
      </c>
      <c r="B48" s="77" t="s">
        <v>86</v>
      </c>
      <c r="C48" s="77" t="s">
        <v>77</v>
      </c>
      <c r="D48" s="57" t="s">
        <v>87</v>
      </c>
      <c r="E48" s="94">
        <f t="shared" si="10"/>
        <v>1273268</v>
      </c>
      <c r="F48" s="94">
        <f>300000+400000+473268+100000</f>
        <v>1273268</v>
      </c>
      <c r="G48" s="94"/>
      <c r="H48" s="94"/>
      <c r="I48" s="94"/>
      <c r="J48" s="93">
        <f t="shared" si="4"/>
        <v>0</v>
      </c>
      <c r="K48" s="94"/>
      <c r="L48" s="94"/>
      <c r="M48" s="94"/>
      <c r="N48" s="94"/>
      <c r="O48" s="93">
        <f t="shared" si="5"/>
        <v>0</v>
      </c>
      <c r="P48" s="94">
        <f t="shared" si="2"/>
        <v>1273268</v>
      </c>
    </row>
    <row r="49" spans="1:16" ht="48.75">
      <c r="A49" s="77" t="s">
        <v>88</v>
      </c>
      <c r="B49" s="77" t="s">
        <v>89</v>
      </c>
      <c r="C49" s="77" t="s">
        <v>77</v>
      </c>
      <c r="D49" s="57" t="s">
        <v>90</v>
      </c>
      <c r="E49" s="94">
        <f t="shared" si="10"/>
        <v>31117320</v>
      </c>
      <c r="F49" s="94">
        <f>30300000+618189+199131</f>
        <v>31117320</v>
      </c>
      <c r="G49" s="94"/>
      <c r="H49" s="94"/>
      <c r="I49" s="94"/>
      <c r="J49" s="93">
        <f t="shared" si="4"/>
        <v>0</v>
      </c>
      <c r="K49" s="103"/>
      <c r="L49" s="94"/>
      <c r="M49" s="94"/>
      <c r="N49" s="94"/>
      <c r="O49" s="93">
        <f t="shared" si="5"/>
        <v>0</v>
      </c>
      <c r="P49" s="94">
        <f t="shared" si="2"/>
        <v>31117320</v>
      </c>
    </row>
    <row r="50" spans="1:16" ht="294.75">
      <c r="A50" s="77" t="s">
        <v>386</v>
      </c>
      <c r="B50" s="77" t="s">
        <v>387</v>
      </c>
      <c r="C50" s="77" t="s">
        <v>91</v>
      </c>
      <c r="D50" s="110" t="s">
        <v>388</v>
      </c>
      <c r="E50" s="94">
        <f>F50</f>
        <v>1836676</v>
      </c>
      <c r="F50" s="94">
        <f>1030968+805708</f>
        <v>1836676</v>
      </c>
      <c r="G50" s="94"/>
      <c r="H50" s="94"/>
      <c r="I50" s="94"/>
      <c r="J50" s="93"/>
      <c r="K50" s="103"/>
      <c r="L50" s="94"/>
      <c r="M50" s="94"/>
      <c r="N50" s="94"/>
      <c r="O50" s="93"/>
      <c r="P50" s="94">
        <f t="shared" si="2"/>
        <v>1836676</v>
      </c>
    </row>
    <row r="51" spans="1:16" ht="73.5">
      <c r="A51" s="77" t="s">
        <v>92</v>
      </c>
      <c r="B51" s="77" t="s">
        <v>93</v>
      </c>
      <c r="C51" s="77" t="s">
        <v>91</v>
      </c>
      <c r="D51" s="62" t="s">
        <v>94</v>
      </c>
      <c r="E51" s="94">
        <f t="shared" si="10"/>
        <v>199500</v>
      </c>
      <c r="F51" s="94">
        <v>199500</v>
      </c>
      <c r="G51" s="94"/>
      <c r="H51" s="94"/>
      <c r="I51" s="94"/>
      <c r="J51" s="93">
        <f t="shared" si="4"/>
        <v>0</v>
      </c>
      <c r="K51" s="94"/>
      <c r="L51" s="94"/>
      <c r="M51" s="94"/>
      <c r="N51" s="94"/>
      <c r="O51" s="93">
        <f t="shared" si="5"/>
        <v>0</v>
      </c>
      <c r="P51" s="94">
        <f t="shared" si="2"/>
        <v>199500</v>
      </c>
    </row>
    <row r="52" spans="1:16" ht="48.75">
      <c r="A52" s="77" t="s">
        <v>95</v>
      </c>
      <c r="B52" s="77" t="s">
        <v>96</v>
      </c>
      <c r="C52" s="77" t="s">
        <v>97</v>
      </c>
      <c r="D52" s="57" t="s">
        <v>98</v>
      </c>
      <c r="E52" s="94">
        <f t="shared" si="10"/>
        <v>100000</v>
      </c>
      <c r="F52" s="94">
        <v>100000</v>
      </c>
      <c r="G52" s="94"/>
      <c r="H52" s="94"/>
      <c r="I52" s="94"/>
      <c r="J52" s="93">
        <f t="shared" si="4"/>
        <v>0</v>
      </c>
      <c r="K52" s="94"/>
      <c r="L52" s="94"/>
      <c r="M52" s="94"/>
      <c r="N52" s="94"/>
      <c r="O52" s="93">
        <f t="shared" si="5"/>
        <v>0</v>
      </c>
      <c r="P52" s="94">
        <f t="shared" si="2"/>
        <v>100000</v>
      </c>
    </row>
    <row r="53" spans="1:16" ht="73.5">
      <c r="A53" s="77" t="s">
        <v>352</v>
      </c>
      <c r="B53" s="77" t="s">
        <v>303</v>
      </c>
      <c r="C53" s="77" t="s">
        <v>99</v>
      </c>
      <c r="D53" s="57" t="s">
        <v>304</v>
      </c>
      <c r="E53" s="94"/>
      <c r="F53" s="94"/>
      <c r="G53" s="94"/>
      <c r="H53" s="94"/>
      <c r="I53" s="94"/>
      <c r="J53" s="93">
        <f t="shared" si="4"/>
        <v>3751996</v>
      </c>
      <c r="K53" s="94">
        <f>1489850+401229+1061729+799188</f>
        <v>3751996</v>
      </c>
      <c r="L53" s="94"/>
      <c r="M53" s="94"/>
      <c r="N53" s="94"/>
      <c r="O53" s="93">
        <f t="shared" si="5"/>
        <v>3751996</v>
      </c>
      <c r="P53" s="94">
        <f t="shared" si="2"/>
        <v>3751996</v>
      </c>
    </row>
    <row r="54" spans="1:16" ht="48.75">
      <c r="A54" s="77" t="s">
        <v>383</v>
      </c>
      <c r="B54" s="77" t="s">
        <v>384</v>
      </c>
      <c r="C54" s="77" t="s">
        <v>99</v>
      </c>
      <c r="D54" s="57" t="s">
        <v>385</v>
      </c>
      <c r="E54" s="94"/>
      <c r="F54" s="94"/>
      <c r="G54" s="94"/>
      <c r="H54" s="94"/>
      <c r="I54" s="94"/>
      <c r="J54" s="93">
        <f t="shared" si="4"/>
        <v>2071463</v>
      </c>
      <c r="K54" s="94">
        <f>182560+682318+245255+238931+200000+272399+250000</f>
        <v>2071463</v>
      </c>
      <c r="L54" s="94"/>
      <c r="M54" s="94"/>
      <c r="N54" s="94"/>
      <c r="O54" s="93">
        <f t="shared" si="5"/>
        <v>2071463</v>
      </c>
      <c r="P54" s="94">
        <f t="shared" si="2"/>
        <v>2071463</v>
      </c>
    </row>
    <row r="55" spans="1:16" ht="48.75">
      <c r="A55" s="77" t="s">
        <v>337</v>
      </c>
      <c r="B55" s="77" t="s">
        <v>258</v>
      </c>
      <c r="C55" s="77" t="s">
        <v>99</v>
      </c>
      <c r="D55" s="57" t="s">
        <v>338</v>
      </c>
      <c r="E55" s="94"/>
      <c r="F55" s="94"/>
      <c r="G55" s="94"/>
      <c r="H55" s="94"/>
      <c r="I55" s="94"/>
      <c r="J55" s="93">
        <f t="shared" si="4"/>
        <v>2939539</v>
      </c>
      <c r="K55" s="94">
        <f>236684+57727+284098+1035724+60000+747973+300000+138312+53021+26000</f>
        <v>2939539</v>
      </c>
      <c r="L55" s="94"/>
      <c r="M55" s="94"/>
      <c r="N55" s="94"/>
      <c r="O55" s="93">
        <f t="shared" si="5"/>
        <v>2939539</v>
      </c>
      <c r="P55" s="94">
        <f t="shared" si="2"/>
        <v>2939539</v>
      </c>
    </row>
    <row r="56" spans="1:16" ht="123">
      <c r="A56" s="77" t="s">
        <v>315</v>
      </c>
      <c r="B56" s="77" t="s">
        <v>313</v>
      </c>
      <c r="C56" s="77" t="s">
        <v>100</v>
      </c>
      <c r="D56" s="57" t="s">
        <v>314</v>
      </c>
      <c r="E56" s="94"/>
      <c r="F56" s="94"/>
      <c r="G56" s="94"/>
      <c r="H56" s="94"/>
      <c r="I56" s="94"/>
      <c r="J56" s="93">
        <f t="shared" si="4"/>
        <v>1306707</v>
      </c>
      <c r="K56" s="94">
        <f>1204337+200000+1306707-1204337-200000</f>
        <v>1306707</v>
      </c>
      <c r="L56" s="94"/>
      <c r="M56" s="94"/>
      <c r="N56" s="94"/>
      <c r="O56" s="93">
        <f>K56</f>
        <v>1306707</v>
      </c>
      <c r="P56" s="94">
        <f>E56+J56</f>
        <v>1306707</v>
      </c>
    </row>
    <row r="57" spans="1:16" ht="78.75" customHeight="1">
      <c r="A57" s="77" t="s">
        <v>379</v>
      </c>
      <c r="B57" s="77" t="s">
        <v>380</v>
      </c>
      <c r="C57" s="77" t="s">
        <v>381</v>
      </c>
      <c r="D57" s="57" t="s">
        <v>382</v>
      </c>
      <c r="E57" s="94">
        <f>F57</f>
        <v>407127</v>
      </c>
      <c r="F57" s="94">
        <f>187310+219817</f>
        <v>407127</v>
      </c>
      <c r="G57" s="94"/>
      <c r="H57" s="94"/>
      <c r="I57" s="94"/>
      <c r="J57" s="93"/>
      <c r="K57" s="94"/>
      <c r="L57" s="94"/>
      <c r="M57" s="94"/>
      <c r="N57" s="94"/>
      <c r="O57" s="93"/>
      <c r="P57" s="94">
        <f>E57+J57</f>
        <v>407127</v>
      </c>
    </row>
    <row r="58" spans="1:16" ht="78.75" customHeight="1">
      <c r="A58" s="77" t="s">
        <v>657</v>
      </c>
      <c r="B58" s="77" t="s">
        <v>658</v>
      </c>
      <c r="C58" s="77" t="s">
        <v>381</v>
      </c>
      <c r="D58" s="57" t="s">
        <v>659</v>
      </c>
      <c r="E58" s="94">
        <f>F58</f>
        <v>195000</v>
      </c>
      <c r="F58" s="94">
        <v>195000</v>
      </c>
      <c r="G58" s="94"/>
      <c r="H58" s="94"/>
      <c r="I58" s="94"/>
      <c r="J58" s="93"/>
      <c r="K58" s="94"/>
      <c r="L58" s="94"/>
      <c r="M58" s="94"/>
      <c r="N58" s="94"/>
      <c r="O58" s="93"/>
      <c r="P58" s="94">
        <f>E58+J58</f>
        <v>195000</v>
      </c>
    </row>
    <row r="59" spans="1:16" ht="123">
      <c r="A59" s="77" t="s">
        <v>101</v>
      </c>
      <c r="B59" s="77" t="s">
        <v>102</v>
      </c>
      <c r="C59" s="77" t="s">
        <v>103</v>
      </c>
      <c r="D59" s="57" t="s">
        <v>104</v>
      </c>
      <c r="E59" s="94">
        <f t="shared" si="10"/>
        <v>7500000</v>
      </c>
      <c r="F59" s="94">
        <v>7500000</v>
      </c>
      <c r="G59" s="94"/>
      <c r="H59" s="94"/>
      <c r="I59" s="94"/>
      <c r="J59" s="93">
        <f t="shared" si="4"/>
        <v>0</v>
      </c>
      <c r="K59" s="94"/>
      <c r="L59" s="94"/>
      <c r="M59" s="94"/>
      <c r="N59" s="94"/>
      <c r="O59" s="93">
        <f t="shared" si="5"/>
        <v>0</v>
      </c>
      <c r="P59" s="94">
        <f t="shared" si="2"/>
        <v>7500000</v>
      </c>
    </row>
    <row r="60" spans="1:16" ht="73.5">
      <c r="A60" s="77" t="s">
        <v>316</v>
      </c>
      <c r="B60" s="77" t="s">
        <v>317</v>
      </c>
      <c r="C60" s="77" t="s">
        <v>100</v>
      </c>
      <c r="D60" s="63" t="s">
        <v>318</v>
      </c>
      <c r="E60" s="94"/>
      <c r="F60" s="94"/>
      <c r="G60" s="94"/>
      <c r="H60" s="94"/>
      <c r="I60" s="94"/>
      <c r="J60" s="93">
        <f t="shared" si="4"/>
        <v>11012146</v>
      </c>
      <c r="K60" s="94">
        <f>4500000+3250000+4500000+1500000+65306+512640+945200+239000-4500000</f>
        <v>11012146</v>
      </c>
      <c r="L60" s="94"/>
      <c r="M60" s="94"/>
      <c r="N60" s="94"/>
      <c r="O60" s="93">
        <f>K60</f>
        <v>11012146</v>
      </c>
      <c r="P60" s="94">
        <f>E60+J60</f>
        <v>11012146</v>
      </c>
    </row>
    <row r="61" spans="1:16" ht="73.5">
      <c r="A61" s="77" t="s">
        <v>105</v>
      </c>
      <c r="B61" s="77" t="s">
        <v>106</v>
      </c>
      <c r="C61" s="77" t="s">
        <v>100</v>
      </c>
      <c r="D61" s="63" t="s">
        <v>107</v>
      </c>
      <c r="E61" s="94">
        <f t="shared" si="10"/>
        <v>29837</v>
      </c>
      <c r="F61" s="94">
        <f>25325+4512</f>
        <v>29837</v>
      </c>
      <c r="G61" s="94"/>
      <c r="H61" s="94"/>
      <c r="I61" s="94"/>
      <c r="J61" s="93">
        <f t="shared" si="4"/>
        <v>0</v>
      </c>
      <c r="K61" s="94"/>
      <c r="L61" s="94"/>
      <c r="M61" s="94"/>
      <c r="N61" s="94"/>
      <c r="O61" s="93">
        <f t="shared" si="5"/>
        <v>0</v>
      </c>
      <c r="P61" s="94">
        <f t="shared" si="2"/>
        <v>29837</v>
      </c>
    </row>
    <row r="62" spans="1:16" ht="48.75">
      <c r="A62" s="77" t="s">
        <v>108</v>
      </c>
      <c r="B62" s="77" t="s">
        <v>109</v>
      </c>
      <c r="C62" s="77" t="s">
        <v>100</v>
      </c>
      <c r="D62" s="57" t="s">
        <v>110</v>
      </c>
      <c r="E62" s="94">
        <f t="shared" si="10"/>
        <v>4256932</v>
      </c>
      <c r="F62" s="94">
        <f>1978205+50000+400000-50000+17669+195000+58410+78000+456628+91204-300000+386452+195364+400000+300000</f>
        <v>4256932</v>
      </c>
      <c r="G62" s="94"/>
      <c r="H62" s="94"/>
      <c r="I62" s="94"/>
      <c r="J62" s="93">
        <f t="shared" si="4"/>
        <v>0</v>
      </c>
      <c r="K62" s="94"/>
      <c r="L62" s="94"/>
      <c r="M62" s="94"/>
      <c r="N62" s="94"/>
      <c r="O62" s="93">
        <f t="shared" si="5"/>
        <v>0</v>
      </c>
      <c r="P62" s="94">
        <f t="shared" si="2"/>
        <v>4256932</v>
      </c>
    </row>
    <row r="63" spans="1:16" ht="73.5">
      <c r="A63" s="77" t="s">
        <v>111</v>
      </c>
      <c r="B63" s="77" t="s">
        <v>112</v>
      </c>
      <c r="C63" s="77" t="s">
        <v>113</v>
      </c>
      <c r="D63" s="64" t="s">
        <v>114</v>
      </c>
      <c r="E63" s="94">
        <f t="shared" si="10"/>
        <v>2611503</v>
      </c>
      <c r="F63" s="94">
        <f>2497345+62500+51658</f>
        <v>2611503</v>
      </c>
      <c r="G63" s="94"/>
      <c r="H63" s="94"/>
      <c r="I63" s="94"/>
      <c r="J63" s="93">
        <f t="shared" si="4"/>
        <v>0</v>
      </c>
      <c r="K63" s="94"/>
      <c r="L63" s="94"/>
      <c r="M63" s="94"/>
      <c r="N63" s="94"/>
      <c r="O63" s="93">
        <f t="shared" si="5"/>
        <v>0</v>
      </c>
      <c r="P63" s="94">
        <f t="shared" si="2"/>
        <v>2611503</v>
      </c>
    </row>
    <row r="64" spans="1:16" ht="48.75">
      <c r="A64" s="77" t="s">
        <v>115</v>
      </c>
      <c r="B64" s="77" t="s">
        <v>116</v>
      </c>
      <c r="C64" s="77" t="s">
        <v>117</v>
      </c>
      <c r="D64" s="62" t="s">
        <v>118</v>
      </c>
      <c r="E64" s="94"/>
      <c r="F64" s="94"/>
      <c r="G64" s="94"/>
      <c r="H64" s="94"/>
      <c r="I64" s="94"/>
      <c r="J64" s="93">
        <f t="shared" si="4"/>
        <v>925958</v>
      </c>
      <c r="K64" s="94"/>
      <c r="L64" s="94">
        <f>212000+433958</f>
        <v>645958</v>
      </c>
      <c r="M64" s="94"/>
      <c r="N64" s="94"/>
      <c r="O64" s="93">
        <f>280000</f>
        <v>280000</v>
      </c>
      <c r="P64" s="94">
        <f t="shared" si="2"/>
        <v>925958</v>
      </c>
    </row>
    <row r="65" spans="1:16" ht="48.75">
      <c r="A65" s="77" t="s">
        <v>119</v>
      </c>
      <c r="B65" s="77" t="s">
        <v>120</v>
      </c>
      <c r="C65" s="77" t="s">
        <v>121</v>
      </c>
      <c r="D65" s="62" t="s">
        <v>122</v>
      </c>
      <c r="E65" s="94">
        <f t="shared" si="10"/>
        <v>749450</v>
      </c>
      <c r="F65" s="94">
        <v>749450</v>
      </c>
      <c r="G65" s="94"/>
      <c r="H65" s="94"/>
      <c r="I65" s="94"/>
      <c r="J65" s="93">
        <f t="shared" si="4"/>
        <v>0</v>
      </c>
      <c r="K65" s="94"/>
      <c r="L65" s="94"/>
      <c r="M65" s="94"/>
      <c r="N65" s="94"/>
      <c r="O65" s="93">
        <f t="shared" si="5"/>
        <v>0</v>
      </c>
      <c r="P65" s="94">
        <f t="shared" si="2"/>
        <v>749450</v>
      </c>
    </row>
    <row r="66" spans="1:16" ht="49.5" thickBot="1">
      <c r="A66" s="79" t="s">
        <v>123</v>
      </c>
      <c r="B66" s="79" t="s">
        <v>124</v>
      </c>
      <c r="C66" s="79" t="s">
        <v>121</v>
      </c>
      <c r="D66" s="65" t="s">
        <v>125</v>
      </c>
      <c r="E66" s="95">
        <f t="shared" si="10"/>
        <v>1070455</v>
      </c>
      <c r="F66" s="95">
        <v>1070455</v>
      </c>
      <c r="G66" s="95"/>
      <c r="H66" s="95"/>
      <c r="I66" s="95"/>
      <c r="J66" s="96">
        <f t="shared" si="4"/>
        <v>0</v>
      </c>
      <c r="K66" s="95"/>
      <c r="L66" s="95"/>
      <c r="M66" s="95"/>
      <c r="N66" s="95"/>
      <c r="O66" s="96">
        <f t="shared" si="5"/>
        <v>0</v>
      </c>
      <c r="P66" s="95">
        <f t="shared" si="2"/>
        <v>1070455</v>
      </c>
    </row>
    <row r="67" spans="1:16" s="15" customFormat="1" ht="72">
      <c r="A67" s="75" t="s">
        <v>126</v>
      </c>
      <c r="B67" s="75"/>
      <c r="C67" s="75"/>
      <c r="D67" s="54" t="s">
        <v>127</v>
      </c>
      <c r="E67" s="91">
        <f>E68</f>
        <v>278181043</v>
      </c>
      <c r="F67" s="91">
        <f aca="true" t="shared" si="11" ref="F67:N67">F68</f>
        <v>278181043</v>
      </c>
      <c r="G67" s="91">
        <f t="shared" si="11"/>
        <v>230473763</v>
      </c>
      <c r="H67" s="91">
        <f t="shared" si="11"/>
        <v>29143448</v>
      </c>
      <c r="I67" s="91">
        <f t="shared" si="11"/>
        <v>0</v>
      </c>
      <c r="J67" s="91">
        <f t="shared" si="11"/>
        <v>15331997</v>
      </c>
      <c r="K67" s="91">
        <f t="shared" si="11"/>
        <v>7247004</v>
      </c>
      <c r="L67" s="91">
        <f t="shared" si="11"/>
        <v>8084993</v>
      </c>
      <c r="M67" s="91">
        <f t="shared" si="11"/>
        <v>1371748</v>
      </c>
      <c r="N67" s="91">
        <f t="shared" si="11"/>
        <v>35707</v>
      </c>
      <c r="O67" s="97">
        <f t="shared" si="5"/>
        <v>7247004</v>
      </c>
      <c r="P67" s="91">
        <f t="shared" si="2"/>
        <v>293513040</v>
      </c>
    </row>
    <row r="68" spans="1:16" s="15" customFormat="1" ht="72">
      <c r="A68" s="76" t="s">
        <v>128</v>
      </c>
      <c r="B68" s="76"/>
      <c r="C68" s="76"/>
      <c r="D68" s="55" t="s">
        <v>127</v>
      </c>
      <c r="E68" s="92">
        <f>E69+E70+E71+E82+E83+E84+E85+E86+E90+E92+E89</f>
        <v>278181043</v>
      </c>
      <c r="F68" s="92">
        <f>F69+F70+F71+F82+F83+F84+F85+F86+F90+F92+F89</f>
        <v>278181043</v>
      </c>
      <c r="G68" s="92">
        <f>G69+G70+G71+G82+G83+G84+G85+G86+G90+G92+G89</f>
        <v>230473763</v>
      </c>
      <c r="H68" s="92">
        <f>H69+H70+H71+H82+H83+H84+H85+H86+H90+H92+H89</f>
        <v>29143448</v>
      </c>
      <c r="I68" s="92">
        <f>I69+I70+I71+I82+I83+I84+I85+I86+I90+I92</f>
        <v>0</v>
      </c>
      <c r="J68" s="92">
        <f aca="true" t="shared" si="12" ref="J68:O68">J69+J70+J71+J82+J83+J84+J85+J86+J90+J91+J92</f>
        <v>15331997</v>
      </c>
      <c r="K68" s="92">
        <f t="shared" si="12"/>
        <v>7247004</v>
      </c>
      <c r="L68" s="92">
        <f t="shared" si="12"/>
        <v>8084993</v>
      </c>
      <c r="M68" s="92">
        <f t="shared" si="12"/>
        <v>1371748</v>
      </c>
      <c r="N68" s="92">
        <f t="shared" si="12"/>
        <v>35707</v>
      </c>
      <c r="O68" s="92">
        <f t="shared" si="12"/>
        <v>7247004</v>
      </c>
      <c r="P68" s="92">
        <f t="shared" si="2"/>
        <v>293513040</v>
      </c>
    </row>
    <row r="69" spans="1:16" ht="123">
      <c r="A69" s="77" t="s">
        <v>129</v>
      </c>
      <c r="B69" s="77" t="s">
        <v>130</v>
      </c>
      <c r="C69" s="77" t="s">
        <v>35</v>
      </c>
      <c r="D69" s="57" t="s">
        <v>131</v>
      </c>
      <c r="E69" s="94">
        <f>F69</f>
        <v>1630780</v>
      </c>
      <c r="F69" s="94">
        <f>1543305+87475</f>
        <v>1630780</v>
      </c>
      <c r="G69" s="94">
        <f>1437782+87475</f>
        <v>1525257</v>
      </c>
      <c r="H69" s="94">
        <v>61615</v>
      </c>
      <c r="I69" s="94"/>
      <c r="J69" s="93">
        <f t="shared" si="4"/>
        <v>13000</v>
      </c>
      <c r="K69" s="94">
        <f>13000</f>
        <v>13000</v>
      </c>
      <c r="L69" s="94"/>
      <c r="M69" s="94"/>
      <c r="N69" s="94"/>
      <c r="O69" s="93">
        <f t="shared" si="5"/>
        <v>13000</v>
      </c>
      <c r="P69" s="94">
        <f t="shared" si="2"/>
        <v>1643780</v>
      </c>
    </row>
    <row r="70" spans="1:16" ht="24">
      <c r="A70" s="77" t="s">
        <v>132</v>
      </c>
      <c r="B70" s="77" t="s">
        <v>133</v>
      </c>
      <c r="C70" s="77" t="s">
        <v>134</v>
      </c>
      <c r="D70" s="57" t="s">
        <v>135</v>
      </c>
      <c r="E70" s="94">
        <f>F70</f>
        <v>89461270</v>
      </c>
      <c r="F70" s="94">
        <f>78894027+4672462+2490037-472825+3877569</f>
        <v>89461270</v>
      </c>
      <c r="G70" s="94">
        <f>63227525+4140907+2061205+3196291</f>
        <v>72625928</v>
      </c>
      <c r="H70" s="94">
        <f>11705083+332650+292993-472824+428855</f>
        <v>12286757</v>
      </c>
      <c r="I70" s="94"/>
      <c r="J70" s="93">
        <f t="shared" si="4"/>
        <v>5140428</v>
      </c>
      <c r="K70" s="94">
        <f>12000</f>
        <v>12000</v>
      </c>
      <c r="L70" s="94">
        <f>4487928+414750+225750</f>
        <v>5128428</v>
      </c>
      <c r="M70" s="94"/>
      <c r="N70" s="94"/>
      <c r="O70" s="93">
        <f t="shared" si="5"/>
        <v>12000</v>
      </c>
      <c r="P70" s="94">
        <f t="shared" si="2"/>
        <v>94601698</v>
      </c>
    </row>
    <row r="71" spans="1:16" ht="147">
      <c r="A71" s="77" t="s">
        <v>136</v>
      </c>
      <c r="B71" s="77" t="s">
        <v>137</v>
      </c>
      <c r="C71" s="77" t="s">
        <v>138</v>
      </c>
      <c r="D71" s="56" t="s">
        <v>340</v>
      </c>
      <c r="E71" s="94">
        <f>SUM(E73:E81)</f>
        <v>172727277</v>
      </c>
      <c r="F71" s="94">
        <f aca="true" t="shared" si="13" ref="F71:O71">SUM(F73:F81)</f>
        <v>172727277</v>
      </c>
      <c r="G71" s="94">
        <f t="shared" si="13"/>
        <v>143134623</v>
      </c>
      <c r="H71" s="94">
        <f t="shared" si="13"/>
        <v>15899479</v>
      </c>
      <c r="I71" s="94">
        <f t="shared" si="13"/>
        <v>0</v>
      </c>
      <c r="J71" s="94">
        <f t="shared" si="13"/>
        <v>3741002</v>
      </c>
      <c r="K71" s="94">
        <f t="shared" si="13"/>
        <v>784437</v>
      </c>
      <c r="L71" s="94">
        <f t="shared" si="13"/>
        <v>2956565</v>
      </c>
      <c r="M71" s="94">
        <f t="shared" si="13"/>
        <v>1371748</v>
      </c>
      <c r="N71" s="94">
        <f t="shared" si="13"/>
        <v>35707</v>
      </c>
      <c r="O71" s="94">
        <f t="shared" si="13"/>
        <v>784437</v>
      </c>
      <c r="P71" s="94">
        <f t="shared" si="2"/>
        <v>176468279</v>
      </c>
    </row>
    <row r="72" spans="1:16" ht="24" hidden="1">
      <c r="A72" s="77"/>
      <c r="B72" s="77"/>
      <c r="C72" s="77"/>
      <c r="D72" s="66" t="s">
        <v>37</v>
      </c>
      <c r="E72" s="94"/>
      <c r="F72" s="94"/>
      <c r="G72" s="94"/>
      <c r="H72" s="94"/>
      <c r="I72" s="94"/>
      <c r="J72" s="93">
        <f t="shared" si="4"/>
        <v>0</v>
      </c>
      <c r="K72" s="94"/>
      <c r="L72" s="94"/>
      <c r="M72" s="94"/>
      <c r="N72" s="94"/>
      <c r="O72" s="93">
        <f t="shared" si="5"/>
        <v>0</v>
      </c>
      <c r="P72" s="94">
        <f t="shared" si="2"/>
        <v>0</v>
      </c>
    </row>
    <row r="73" spans="1:16" ht="48.75" hidden="1">
      <c r="A73" s="77"/>
      <c r="B73" s="77"/>
      <c r="C73" s="77"/>
      <c r="D73" s="67" t="s">
        <v>139</v>
      </c>
      <c r="E73" s="94">
        <f>F73</f>
        <v>114048873</v>
      </c>
      <c r="F73" s="94">
        <f>94732600+18873+19297400</f>
        <v>114048873</v>
      </c>
      <c r="G73" s="94">
        <f>94732600+18873+19297400</f>
        <v>114048873</v>
      </c>
      <c r="H73" s="94"/>
      <c r="I73" s="94"/>
      <c r="J73" s="93">
        <f t="shared" si="4"/>
        <v>0</v>
      </c>
      <c r="K73" s="94"/>
      <c r="L73" s="94"/>
      <c r="M73" s="94"/>
      <c r="N73" s="94"/>
      <c r="O73" s="93">
        <f t="shared" si="5"/>
        <v>0</v>
      </c>
      <c r="P73" s="94">
        <f t="shared" si="2"/>
        <v>114048873</v>
      </c>
    </row>
    <row r="74" spans="1:16" ht="48.75" hidden="1">
      <c r="A74" s="77"/>
      <c r="B74" s="77"/>
      <c r="C74" s="77"/>
      <c r="D74" s="67" t="s">
        <v>140</v>
      </c>
      <c r="E74" s="94"/>
      <c r="F74" s="94"/>
      <c r="G74" s="94"/>
      <c r="H74" s="94"/>
      <c r="I74" s="94"/>
      <c r="J74" s="93">
        <f t="shared" si="4"/>
        <v>0</v>
      </c>
      <c r="K74" s="94"/>
      <c r="L74" s="94"/>
      <c r="M74" s="94"/>
      <c r="N74" s="94"/>
      <c r="O74" s="93">
        <f t="shared" si="5"/>
        <v>0</v>
      </c>
      <c r="P74" s="94">
        <f t="shared" si="2"/>
        <v>0</v>
      </c>
    </row>
    <row r="75" spans="1:16" ht="221.25" hidden="1">
      <c r="A75" s="77"/>
      <c r="B75" s="77"/>
      <c r="C75" s="77"/>
      <c r="D75" s="67" t="s">
        <v>141</v>
      </c>
      <c r="E75" s="94">
        <f>F75</f>
        <v>1536303</v>
      </c>
      <c r="F75" s="94">
        <f>1536303</f>
        <v>1536303</v>
      </c>
      <c r="G75" s="94"/>
      <c r="H75" s="94"/>
      <c r="I75" s="94"/>
      <c r="J75" s="93">
        <f t="shared" si="4"/>
        <v>520437</v>
      </c>
      <c r="K75" s="94">
        <v>520437</v>
      </c>
      <c r="L75" s="94"/>
      <c r="M75" s="94"/>
      <c r="N75" s="94"/>
      <c r="O75" s="93">
        <f t="shared" si="5"/>
        <v>520437</v>
      </c>
      <c r="P75" s="94">
        <f>J75+E75</f>
        <v>2056740</v>
      </c>
    </row>
    <row r="76" spans="1:16" ht="196.5" hidden="1">
      <c r="A76" s="77"/>
      <c r="B76" s="77"/>
      <c r="C76" s="77"/>
      <c r="D76" s="67" t="s">
        <v>142</v>
      </c>
      <c r="E76" s="94">
        <f>F76</f>
        <v>287591</v>
      </c>
      <c r="F76" s="94">
        <f>135900+38441+113250</f>
        <v>287591</v>
      </c>
      <c r="G76" s="94">
        <f>135900+38441+113250</f>
        <v>287591</v>
      </c>
      <c r="H76" s="94"/>
      <c r="I76" s="94"/>
      <c r="J76" s="93">
        <f t="shared" si="4"/>
        <v>264000</v>
      </c>
      <c r="K76" s="94">
        <f>O76</f>
        <v>264000</v>
      </c>
      <c r="L76" s="94"/>
      <c r="M76" s="94"/>
      <c r="N76" s="94"/>
      <c r="O76" s="93">
        <f>144000+120000</f>
        <v>264000</v>
      </c>
      <c r="P76" s="94">
        <f t="shared" si="2"/>
        <v>551591</v>
      </c>
    </row>
    <row r="77" spans="1:16" ht="171.75" hidden="1">
      <c r="A77" s="77"/>
      <c r="B77" s="77"/>
      <c r="C77" s="77"/>
      <c r="D77" s="67" t="s">
        <v>143</v>
      </c>
      <c r="E77" s="94"/>
      <c r="F77" s="94"/>
      <c r="G77" s="94"/>
      <c r="H77" s="94"/>
      <c r="I77" s="94"/>
      <c r="J77" s="93">
        <f t="shared" si="4"/>
        <v>0</v>
      </c>
      <c r="K77" s="94"/>
      <c r="L77" s="94"/>
      <c r="M77" s="94"/>
      <c r="N77" s="94"/>
      <c r="O77" s="93">
        <f t="shared" si="5"/>
        <v>0</v>
      </c>
      <c r="P77" s="94">
        <f t="shared" si="2"/>
        <v>0</v>
      </c>
    </row>
    <row r="78" spans="1:16" ht="196.5" hidden="1">
      <c r="A78" s="77"/>
      <c r="B78" s="77"/>
      <c r="C78" s="77"/>
      <c r="D78" s="67" t="s">
        <v>144</v>
      </c>
      <c r="E78" s="94"/>
      <c r="F78" s="94"/>
      <c r="G78" s="94"/>
      <c r="H78" s="94"/>
      <c r="I78" s="94"/>
      <c r="J78" s="93">
        <f t="shared" si="4"/>
        <v>0</v>
      </c>
      <c r="K78" s="94"/>
      <c r="L78" s="94"/>
      <c r="M78" s="94"/>
      <c r="N78" s="94"/>
      <c r="O78" s="93">
        <f t="shared" si="5"/>
        <v>0</v>
      </c>
      <c r="P78" s="94">
        <f t="shared" si="2"/>
        <v>0</v>
      </c>
    </row>
    <row r="79" spans="1:16" ht="221.25" hidden="1">
      <c r="A79" s="77"/>
      <c r="B79" s="77"/>
      <c r="C79" s="77"/>
      <c r="D79" s="102" t="s">
        <v>324</v>
      </c>
      <c r="E79" s="94">
        <f>F79</f>
        <v>1256800</v>
      </c>
      <c r="F79" s="94">
        <f>1256800</f>
        <v>1256800</v>
      </c>
      <c r="G79" s="94"/>
      <c r="H79" s="94">
        <v>1256800</v>
      </c>
      <c r="I79" s="94"/>
      <c r="J79" s="93"/>
      <c r="K79" s="94"/>
      <c r="L79" s="94"/>
      <c r="M79" s="94"/>
      <c r="N79" s="94"/>
      <c r="O79" s="93"/>
      <c r="P79" s="94">
        <f t="shared" si="2"/>
        <v>1256800</v>
      </c>
    </row>
    <row r="80" spans="1:16" ht="147" hidden="1">
      <c r="A80" s="77"/>
      <c r="B80" s="77"/>
      <c r="C80" s="77"/>
      <c r="D80" s="104" t="s">
        <v>336</v>
      </c>
      <c r="E80" s="94"/>
      <c r="F80" s="94"/>
      <c r="G80" s="94"/>
      <c r="H80" s="94"/>
      <c r="I80" s="94"/>
      <c r="J80" s="93">
        <f>K80+L80</f>
        <v>0</v>
      </c>
      <c r="K80" s="94"/>
      <c r="L80" s="94"/>
      <c r="M80" s="94"/>
      <c r="N80" s="94">
        <f>K80</f>
        <v>0</v>
      </c>
      <c r="O80" s="93"/>
      <c r="P80" s="94">
        <f t="shared" si="2"/>
        <v>0</v>
      </c>
    </row>
    <row r="81" spans="1:16" ht="24" hidden="1">
      <c r="A81" s="77"/>
      <c r="B81" s="77"/>
      <c r="C81" s="77"/>
      <c r="D81" s="57" t="s">
        <v>52</v>
      </c>
      <c r="E81" s="94">
        <f aca="true" t="shared" si="14" ref="E81:E90">F81</f>
        <v>55597710</v>
      </c>
      <c r="F81" s="94">
        <f>51371014+2284676-671908+2418084+1380210-1256800+34340+38094</f>
        <v>55597710</v>
      </c>
      <c r="G81" s="94">
        <f>26001972+1356916+1439271</f>
        <v>28798159</v>
      </c>
      <c r="H81" s="94">
        <f>15460808+607240-671909+503340-1256800</f>
        <v>14642679</v>
      </c>
      <c r="I81" s="94"/>
      <c r="J81" s="93">
        <f t="shared" si="4"/>
        <v>2956565</v>
      </c>
      <c r="K81" s="94"/>
      <c r="L81" s="94">
        <f>2719655+24750+212160</f>
        <v>2956565</v>
      </c>
      <c r="M81" s="94">
        <f>1124382+247366</f>
        <v>1371748</v>
      </c>
      <c r="N81" s="94">
        <f>35707</f>
        <v>35707</v>
      </c>
      <c r="O81" s="93">
        <f t="shared" si="5"/>
        <v>0</v>
      </c>
      <c r="P81" s="94">
        <f t="shared" si="2"/>
        <v>58554275</v>
      </c>
    </row>
    <row r="82" spans="1:16" ht="123">
      <c r="A82" s="77" t="s">
        <v>145</v>
      </c>
      <c r="B82" s="77" t="s">
        <v>73</v>
      </c>
      <c r="C82" s="77" t="s">
        <v>146</v>
      </c>
      <c r="D82" s="57" t="s">
        <v>341</v>
      </c>
      <c r="E82" s="94">
        <f t="shared" si="14"/>
        <v>6261129</v>
      </c>
      <c r="F82" s="94">
        <f>6250010+11119</f>
        <v>6261129</v>
      </c>
      <c r="G82" s="94">
        <v>5836040</v>
      </c>
      <c r="H82" s="94">
        <v>348110</v>
      </c>
      <c r="I82" s="94"/>
      <c r="J82" s="93">
        <f t="shared" si="4"/>
        <v>0</v>
      </c>
      <c r="K82" s="94"/>
      <c r="L82" s="94"/>
      <c r="M82" s="94"/>
      <c r="N82" s="94"/>
      <c r="O82" s="93">
        <f t="shared" si="5"/>
        <v>0</v>
      </c>
      <c r="P82" s="94">
        <f t="shared" si="2"/>
        <v>6261129</v>
      </c>
    </row>
    <row r="83" spans="1:16" ht="48.75">
      <c r="A83" s="77" t="s">
        <v>147</v>
      </c>
      <c r="B83" s="77" t="s">
        <v>148</v>
      </c>
      <c r="C83" s="77" t="s">
        <v>149</v>
      </c>
      <c r="D83" s="57" t="s">
        <v>342</v>
      </c>
      <c r="E83" s="94">
        <f t="shared" si="14"/>
        <v>1453177</v>
      </c>
      <c r="F83" s="94">
        <v>1453177</v>
      </c>
      <c r="G83" s="94">
        <v>1381902</v>
      </c>
      <c r="H83" s="94">
        <v>44964</v>
      </c>
      <c r="I83" s="94"/>
      <c r="J83" s="93">
        <f t="shared" si="4"/>
        <v>0</v>
      </c>
      <c r="K83" s="94"/>
      <c r="L83" s="94"/>
      <c r="M83" s="94"/>
      <c r="N83" s="94"/>
      <c r="O83" s="93">
        <f t="shared" si="5"/>
        <v>0</v>
      </c>
      <c r="P83" s="94">
        <f t="shared" si="2"/>
        <v>1453177</v>
      </c>
    </row>
    <row r="84" spans="1:16" ht="73.5">
      <c r="A84" s="77" t="s">
        <v>150</v>
      </c>
      <c r="B84" s="77" t="s">
        <v>151</v>
      </c>
      <c r="C84" s="77" t="s">
        <v>149</v>
      </c>
      <c r="D84" s="68" t="s">
        <v>152</v>
      </c>
      <c r="E84" s="94">
        <f t="shared" si="14"/>
        <v>2446516</v>
      </c>
      <c r="F84" s="94">
        <v>2446516</v>
      </c>
      <c r="G84" s="94">
        <f>2067809+229809</f>
        <v>2297618</v>
      </c>
      <c r="H84" s="94">
        <v>76668</v>
      </c>
      <c r="I84" s="94"/>
      <c r="J84" s="93">
        <f t="shared" si="4"/>
        <v>35000</v>
      </c>
      <c r="K84" s="94">
        <f>35000</f>
        <v>35000</v>
      </c>
      <c r="L84" s="94"/>
      <c r="M84" s="94"/>
      <c r="N84" s="94"/>
      <c r="O84" s="93">
        <f t="shared" si="5"/>
        <v>35000</v>
      </c>
      <c r="P84" s="94">
        <f t="shared" si="2"/>
        <v>2481516</v>
      </c>
    </row>
    <row r="85" spans="1:16" ht="48.75">
      <c r="A85" s="77" t="s">
        <v>153</v>
      </c>
      <c r="B85" s="77" t="s">
        <v>154</v>
      </c>
      <c r="C85" s="77" t="s">
        <v>149</v>
      </c>
      <c r="D85" s="57" t="s">
        <v>155</v>
      </c>
      <c r="E85" s="93">
        <f t="shared" si="14"/>
        <v>30770</v>
      </c>
      <c r="F85" s="93">
        <v>30770</v>
      </c>
      <c r="G85" s="93"/>
      <c r="H85" s="93"/>
      <c r="I85" s="93"/>
      <c r="J85" s="93">
        <f t="shared" si="4"/>
        <v>0</v>
      </c>
      <c r="K85" s="93"/>
      <c r="L85" s="93"/>
      <c r="M85" s="93"/>
      <c r="N85" s="93"/>
      <c r="O85" s="93">
        <f t="shared" si="5"/>
        <v>0</v>
      </c>
      <c r="P85" s="94">
        <f t="shared" si="2"/>
        <v>30770</v>
      </c>
    </row>
    <row r="86" spans="1:16" ht="73.5">
      <c r="A86" s="77" t="s">
        <v>156</v>
      </c>
      <c r="B86" s="77" t="s">
        <v>157</v>
      </c>
      <c r="C86" s="77" t="s">
        <v>149</v>
      </c>
      <c r="D86" s="57" t="s">
        <v>158</v>
      </c>
      <c r="E86" s="98">
        <f>SUM(E87:E88)</f>
        <v>1137204</v>
      </c>
      <c r="F86" s="98">
        <f aca="true" t="shared" si="15" ref="F86:O86">SUM(F87:F88)</f>
        <v>1137204</v>
      </c>
      <c r="G86" s="98">
        <f t="shared" si="15"/>
        <v>1068076</v>
      </c>
      <c r="H86" s="98">
        <f t="shared" si="15"/>
        <v>63385</v>
      </c>
      <c r="I86" s="98">
        <f t="shared" si="15"/>
        <v>0</v>
      </c>
      <c r="J86" s="98">
        <f t="shared" si="15"/>
        <v>0</v>
      </c>
      <c r="K86" s="98">
        <f t="shared" si="15"/>
        <v>0</v>
      </c>
      <c r="L86" s="98">
        <f t="shared" si="15"/>
        <v>0</v>
      </c>
      <c r="M86" s="98">
        <f t="shared" si="15"/>
        <v>0</v>
      </c>
      <c r="N86" s="98">
        <f t="shared" si="15"/>
        <v>0</v>
      </c>
      <c r="O86" s="98">
        <f t="shared" si="15"/>
        <v>0</v>
      </c>
      <c r="P86" s="94">
        <f>E86+J86</f>
        <v>1137204</v>
      </c>
    </row>
    <row r="87" spans="1:16" ht="123" hidden="1">
      <c r="A87" s="80"/>
      <c r="B87" s="80"/>
      <c r="C87" s="80"/>
      <c r="D87" s="69" t="s">
        <v>325</v>
      </c>
      <c r="E87" s="99">
        <f>F87</f>
        <v>882064</v>
      </c>
      <c r="F87" s="99">
        <f>844767+37297</f>
        <v>882064</v>
      </c>
      <c r="G87" s="99">
        <f>844767+37297</f>
        <v>882064</v>
      </c>
      <c r="H87" s="99"/>
      <c r="I87" s="99"/>
      <c r="J87" s="99"/>
      <c r="K87" s="99"/>
      <c r="L87" s="99"/>
      <c r="M87" s="99"/>
      <c r="N87" s="99"/>
      <c r="O87" s="99"/>
      <c r="P87" s="94">
        <f>E87+J87</f>
        <v>882064</v>
      </c>
    </row>
    <row r="88" spans="1:16" ht="24" hidden="1">
      <c r="A88" s="80"/>
      <c r="B88" s="80"/>
      <c r="C88" s="80"/>
      <c r="D88" s="69" t="s">
        <v>52</v>
      </c>
      <c r="E88" s="93">
        <f>F88</f>
        <v>255140</v>
      </c>
      <c r="F88" s="93">
        <v>255140</v>
      </c>
      <c r="G88" s="93">
        <v>186012</v>
      </c>
      <c r="H88" s="93">
        <v>63385</v>
      </c>
      <c r="I88" s="99"/>
      <c r="J88" s="99"/>
      <c r="K88" s="99"/>
      <c r="L88" s="99"/>
      <c r="M88" s="99"/>
      <c r="N88" s="99"/>
      <c r="O88" s="99"/>
      <c r="P88" s="94">
        <f>E88+J88</f>
        <v>255140</v>
      </c>
    </row>
    <row r="89" spans="1:16" ht="48.75">
      <c r="A89" s="80" t="s">
        <v>366</v>
      </c>
      <c r="B89" s="80" t="s">
        <v>367</v>
      </c>
      <c r="C89" s="80" t="s">
        <v>368</v>
      </c>
      <c r="D89" s="69" t="s">
        <v>369</v>
      </c>
      <c r="E89" s="99">
        <f>F89</f>
        <v>2880</v>
      </c>
      <c r="F89" s="99">
        <v>2880</v>
      </c>
      <c r="G89" s="99">
        <v>2880</v>
      </c>
      <c r="H89" s="99"/>
      <c r="I89" s="99"/>
      <c r="J89" s="99"/>
      <c r="K89" s="99"/>
      <c r="L89" s="99"/>
      <c r="M89" s="99"/>
      <c r="N89" s="99"/>
      <c r="O89" s="99"/>
      <c r="P89" s="100">
        <f>E89+J89</f>
        <v>2880</v>
      </c>
    </row>
    <row r="90" spans="1:16" ht="98.25">
      <c r="A90" s="80" t="s">
        <v>159</v>
      </c>
      <c r="B90" s="80" t="s">
        <v>160</v>
      </c>
      <c r="C90" s="80" t="s">
        <v>161</v>
      </c>
      <c r="D90" s="69" t="s">
        <v>162</v>
      </c>
      <c r="E90" s="99">
        <f t="shared" si="14"/>
        <v>3030040</v>
      </c>
      <c r="F90" s="99">
        <f>2698420+331620</f>
        <v>3030040</v>
      </c>
      <c r="G90" s="99">
        <f>2269819+331620</f>
        <v>2601439</v>
      </c>
      <c r="H90" s="99">
        <v>362470</v>
      </c>
      <c r="I90" s="99"/>
      <c r="J90" s="99">
        <f t="shared" si="4"/>
        <v>10000</v>
      </c>
      <c r="K90" s="99">
        <f>10000</f>
        <v>10000</v>
      </c>
      <c r="L90" s="99"/>
      <c r="M90" s="99"/>
      <c r="N90" s="99"/>
      <c r="O90" s="99">
        <f t="shared" si="5"/>
        <v>10000</v>
      </c>
      <c r="P90" s="100">
        <f t="shared" si="2"/>
        <v>3040040</v>
      </c>
    </row>
    <row r="91" spans="1:16" ht="49.5" thickBot="1">
      <c r="A91" s="79" t="s">
        <v>344</v>
      </c>
      <c r="B91" s="79" t="s">
        <v>345</v>
      </c>
      <c r="C91" s="79" t="s">
        <v>99</v>
      </c>
      <c r="D91" s="70" t="s">
        <v>346</v>
      </c>
      <c r="E91" s="96"/>
      <c r="F91" s="96"/>
      <c r="G91" s="96"/>
      <c r="H91" s="96"/>
      <c r="I91" s="96"/>
      <c r="J91" s="96">
        <f>O91+L91</f>
        <v>6392567</v>
      </c>
      <c r="K91" s="96">
        <f>458596+3586541+251261+46683+2049486</f>
        <v>6392567</v>
      </c>
      <c r="L91" s="96"/>
      <c r="M91" s="96"/>
      <c r="N91" s="96"/>
      <c r="O91" s="96">
        <f>K91</f>
        <v>6392567</v>
      </c>
      <c r="P91" s="95">
        <f t="shared" si="2"/>
        <v>6392567</v>
      </c>
    </row>
    <row r="92" spans="1:16" ht="123" hidden="1" thickBot="1">
      <c r="A92" s="213" t="s">
        <v>312</v>
      </c>
      <c r="B92" s="213" t="s">
        <v>313</v>
      </c>
      <c r="C92" s="213" t="s">
        <v>100</v>
      </c>
      <c r="D92" s="214" t="s">
        <v>314</v>
      </c>
      <c r="E92" s="215"/>
      <c r="F92" s="215"/>
      <c r="G92" s="215"/>
      <c r="H92" s="215"/>
      <c r="I92" s="215"/>
      <c r="J92" s="215">
        <f t="shared" si="4"/>
        <v>0</v>
      </c>
      <c r="K92" s="215">
        <f>597771-597771</f>
        <v>0</v>
      </c>
      <c r="L92" s="215"/>
      <c r="M92" s="215"/>
      <c r="N92" s="215"/>
      <c r="O92" s="215">
        <f>K92</f>
        <v>0</v>
      </c>
      <c r="P92" s="216">
        <f>E92+J92</f>
        <v>0</v>
      </c>
    </row>
    <row r="93" spans="1:16" s="15" customFormat="1" ht="125.25" customHeight="1">
      <c r="A93" s="75" t="s">
        <v>163</v>
      </c>
      <c r="B93" s="75"/>
      <c r="C93" s="75"/>
      <c r="D93" s="54" t="s">
        <v>164</v>
      </c>
      <c r="E93" s="97">
        <f aca="true" t="shared" si="16" ref="E93:N93">E94</f>
        <v>23573047</v>
      </c>
      <c r="F93" s="97">
        <f t="shared" si="16"/>
        <v>23573047</v>
      </c>
      <c r="G93" s="97">
        <f t="shared" si="16"/>
        <v>16753978</v>
      </c>
      <c r="H93" s="97">
        <f t="shared" si="16"/>
        <v>711081</v>
      </c>
      <c r="I93" s="97">
        <f t="shared" si="16"/>
        <v>0</v>
      </c>
      <c r="J93" s="97">
        <f t="shared" si="16"/>
        <v>110860</v>
      </c>
      <c r="K93" s="97">
        <f t="shared" si="16"/>
        <v>51460</v>
      </c>
      <c r="L93" s="97">
        <f t="shared" si="16"/>
        <v>59400</v>
      </c>
      <c r="M93" s="97">
        <f t="shared" si="16"/>
        <v>0</v>
      </c>
      <c r="N93" s="97">
        <f t="shared" si="16"/>
        <v>6588</v>
      </c>
      <c r="O93" s="97">
        <f t="shared" si="5"/>
        <v>51460</v>
      </c>
      <c r="P93" s="91">
        <f t="shared" si="2"/>
        <v>23683907</v>
      </c>
    </row>
    <row r="94" spans="1:16" s="15" customFormat="1" ht="128.25" customHeight="1">
      <c r="A94" s="76" t="s">
        <v>165</v>
      </c>
      <c r="B94" s="76"/>
      <c r="C94" s="76"/>
      <c r="D94" s="55" t="s">
        <v>164</v>
      </c>
      <c r="E94" s="101">
        <f aca="true" t="shared" si="17" ref="E94:N94">SUM(E95:E113)</f>
        <v>23573047</v>
      </c>
      <c r="F94" s="101">
        <f t="shared" si="17"/>
        <v>23573047</v>
      </c>
      <c r="G94" s="101">
        <f t="shared" si="17"/>
        <v>16753978</v>
      </c>
      <c r="H94" s="101">
        <f t="shared" si="17"/>
        <v>711081</v>
      </c>
      <c r="I94" s="101">
        <f t="shared" si="17"/>
        <v>0</v>
      </c>
      <c r="J94" s="101">
        <f t="shared" si="17"/>
        <v>110860</v>
      </c>
      <c r="K94" s="101">
        <f t="shared" si="17"/>
        <v>51460</v>
      </c>
      <c r="L94" s="101">
        <f t="shared" si="17"/>
        <v>59400</v>
      </c>
      <c r="M94" s="101">
        <f t="shared" si="17"/>
        <v>0</v>
      </c>
      <c r="N94" s="101">
        <f t="shared" si="17"/>
        <v>6588</v>
      </c>
      <c r="O94" s="101">
        <f t="shared" si="5"/>
        <v>51460</v>
      </c>
      <c r="P94" s="92">
        <f t="shared" si="2"/>
        <v>23683907</v>
      </c>
    </row>
    <row r="95" spans="1:16" ht="123">
      <c r="A95" s="77" t="s">
        <v>166</v>
      </c>
      <c r="B95" s="77" t="s">
        <v>130</v>
      </c>
      <c r="C95" s="77" t="s">
        <v>35</v>
      </c>
      <c r="D95" s="57" t="s">
        <v>131</v>
      </c>
      <c r="E95" s="93">
        <f aca="true" t="shared" si="18" ref="E95:E113">F95</f>
        <v>10965300</v>
      </c>
      <c r="F95" s="93">
        <f>10545242-4977+425035</f>
        <v>10965300</v>
      </c>
      <c r="G95" s="93">
        <f>10090886+425035</f>
        <v>10515921</v>
      </c>
      <c r="H95" s="93">
        <f>248614-4977</f>
        <v>243637</v>
      </c>
      <c r="I95" s="93"/>
      <c r="J95" s="93">
        <f t="shared" si="4"/>
        <v>0</v>
      </c>
      <c r="K95" s="93"/>
      <c r="L95" s="93"/>
      <c r="M95" s="93"/>
      <c r="N95" s="93"/>
      <c r="O95" s="93">
        <f t="shared" si="5"/>
        <v>0</v>
      </c>
      <c r="P95" s="94">
        <f t="shared" si="2"/>
        <v>10965300</v>
      </c>
    </row>
    <row r="96" spans="1:16" ht="98.25">
      <c r="A96" s="77" t="s">
        <v>276</v>
      </c>
      <c r="B96" s="77" t="s">
        <v>277</v>
      </c>
      <c r="C96" s="81" t="s">
        <v>69</v>
      </c>
      <c r="D96" s="56" t="s">
        <v>278</v>
      </c>
      <c r="E96" s="93">
        <f t="shared" si="18"/>
        <v>22260</v>
      </c>
      <c r="F96" s="93">
        <v>22260</v>
      </c>
      <c r="G96" s="93"/>
      <c r="H96" s="93"/>
      <c r="I96" s="93"/>
      <c r="J96" s="93">
        <f t="shared" si="4"/>
        <v>0</v>
      </c>
      <c r="K96" s="93"/>
      <c r="L96" s="93"/>
      <c r="M96" s="93"/>
      <c r="N96" s="93"/>
      <c r="O96" s="93">
        <f t="shared" si="5"/>
        <v>0</v>
      </c>
      <c r="P96" s="94">
        <f t="shared" si="2"/>
        <v>22260</v>
      </c>
    </row>
    <row r="97" spans="1:16" ht="73.5">
      <c r="A97" s="77" t="s">
        <v>279</v>
      </c>
      <c r="B97" s="77" t="s">
        <v>280</v>
      </c>
      <c r="C97" s="81" t="s">
        <v>281</v>
      </c>
      <c r="D97" s="56" t="s">
        <v>282</v>
      </c>
      <c r="E97" s="93">
        <f t="shared" si="18"/>
        <v>155360</v>
      </c>
      <c r="F97" s="93">
        <v>155360</v>
      </c>
      <c r="G97" s="93"/>
      <c r="H97" s="93"/>
      <c r="I97" s="93"/>
      <c r="J97" s="93">
        <f t="shared" si="4"/>
        <v>0</v>
      </c>
      <c r="K97" s="93"/>
      <c r="L97" s="93"/>
      <c r="M97" s="93"/>
      <c r="N97" s="93"/>
      <c r="O97" s="93">
        <f t="shared" si="5"/>
        <v>0</v>
      </c>
      <c r="P97" s="94">
        <f t="shared" si="2"/>
        <v>155360</v>
      </c>
    </row>
    <row r="98" spans="1:16" ht="123">
      <c r="A98" s="77" t="s">
        <v>283</v>
      </c>
      <c r="B98" s="77" t="s">
        <v>284</v>
      </c>
      <c r="C98" s="81" t="s">
        <v>281</v>
      </c>
      <c r="D98" s="56" t="s">
        <v>285</v>
      </c>
      <c r="E98" s="93">
        <f t="shared" si="18"/>
        <v>2800000</v>
      </c>
      <c r="F98" s="93">
        <v>2800000</v>
      </c>
      <c r="G98" s="93"/>
      <c r="H98" s="93"/>
      <c r="I98" s="93"/>
      <c r="J98" s="93">
        <f t="shared" si="4"/>
        <v>0</v>
      </c>
      <c r="K98" s="93"/>
      <c r="L98" s="93"/>
      <c r="M98" s="93"/>
      <c r="N98" s="93"/>
      <c r="O98" s="93">
        <f t="shared" si="5"/>
        <v>0</v>
      </c>
      <c r="P98" s="94">
        <f t="shared" si="2"/>
        <v>2800000</v>
      </c>
    </row>
    <row r="99" spans="1:16" ht="98.25">
      <c r="A99" s="80" t="s">
        <v>286</v>
      </c>
      <c r="B99" s="80" t="s">
        <v>287</v>
      </c>
      <c r="C99" s="80" t="s">
        <v>281</v>
      </c>
      <c r="D99" s="71" t="s">
        <v>288</v>
      </c>
      <c r="E99" s="93">
        <f t="shared" si="18"/>
        <v>153000</v>
      </c>
      <c r="F99" s="93">
        <v>153000</v>
      </c>
      <c r="G99" s="93"/>
      <c r="H99" s="93"/>
      <c r="I99" s="93"/>
      <c r="J99" s="93">
        <f t="shared" si="4"/>
        <v>0</v>
      </c>
      <c r="K99" s="93"/>
      <c r="L99" s="93"/>
      <c r="M99" s="93"/>
      <c r="N99" s="93"/>
      <c r="O99" s="93">
        <f t="shared" si="5"/>
        <v>0</v>
      </c>
      <c r="P99" s="94">
        <f t="shared" si="2"/>
        <v>153000</v>
      </c>
    </row>
    <row r="100" spans="1:16" ht="98.25">
      <c r="A100" s="77" t="s">
        <v>329</v>
      </c>
      <c r="B100" s="77" t="s">
        <v>330</v>
      </c>
      <c r="C100" s="77" t="s">
        <v>281</v>
      </c>
      <c r="D100" s="57" t="s">
        <v>331</v>
      </c>
      <c r="E100" s="93">
        <f t="shared" si="18"/>
        <v>81050</v>
      </c>
      <c r="F100" s="93">
        <v>81050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4">
        <f t="shared" si="2"/>
        <v>81050</v>
      </c>
    </row>
    <row r="101" spans="1:16" ht="98.25">
      <c r="A101" s="77" t="s">
        <v>332</v>
      </c>
      <c r="B101" s="77" t="s">
        <v>333</v>
      </c>
      <c r="C101" s="77" t="s">
        <v>69</v>
      </c>
      <c r="D101" s="57" t="s">
        <v>334</v>
      </c>
      <c r="E101" s="93">
        <f t="shared" si="18"/>
        <v>65950</v>
      </c>
      <c r="F101" s="93">
        <v>65950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4">
        <f>E101+J101</f>
        <v>65950</v>
      </c>
    </row>
    <row r="102" spans="1:16" ht="171.75">
      <c r="A102" s="77" t="s">
        <v>167</v>
      </c>
      <c r="B102" s="77" t="s">
        <v>168</v>
      </c>
      <c r="C102" s="77" t="s">
        <v>137</v>
      </c>
      <c r="D102" s="57" t="s">
        <v>169</v>
      </c>
      <c r="E102" s="93">
        <f t="shared" si="18"/>
        <v>4390298</v>
      </c>
      <c r="F102" s="93">
        <f>4383186+7112</f>
        <v>4390298</v>
      </c>
      <c r="G102" s="93">
        <v>4147907</v>
      </c>
      <c r="H102" s="93">
        <v>230279</v>
      </c>
      <c r="I102" s="93"/>
      <c r="J102" s="93">
        <f t="shared" si="4"/>
        <v>59400</v>
      </c>
      <c r="K102" s="93"/>
      <c r="L102" s="93">
        <v>59400</v>
      </c>
      <c r="M102" s="93"/>
      <c r="N102" s="93">
        <v>6588</v>
      </c>
      <c r="O102" s="93">
        <f t="shared" si="5"/>
        <v>0</v>
      </c>
      <c r="P102" s="94">
        <f aca="true" t="shared" si="19" ref="P102:P176">E102+J102</f>
        <v>4449698</v>
      </c>
    </row>
    <row r="103" spans="1:16" ht="98.25">
      <c r="A103" s="77" t="s">
        <v>170</v>
      </c>
      <c r="B103" s="77" t="s">
        <v>171</v>
      </c>
      <c r="C103" s="77" t="s">
        <v>133</v>
      </c>
      <c r="D103" s="57" t="s">
        <v>172</v>
      </c>
      <c r="E103" s="93">
        <f t="shared" si="18"/>
        <v>1857265</v>
      </c>
      <c r="F103" s="93">
        <f>1855735+1530</f>
        <v>1857265</v>
      </c>
      <c r="G103" s="93">
        <v>1519206</v>
      </c>
      <c r="H103" s="93">
        <v>210332</v>
      </c>
      <c r="I103" s="93"/>
      <c r="J103" s="93">
        <f t="shared" si="4"/>
        <v>0</v>
      </c>
      <c r="K103" s="93"/>
      <c r="L103" s="93"/>
      <c r="M103" s="93"/>
      <c r="N103" s="93"/>
      <c r="O103" s="93">
        <f t="shared" si="5"/>
        <v>0</v>
      </c>
      <c r="P103" s="94">
        <f t="shared" si="19"/>
        <v>1857265</v>
      </c>
    </row>
    <row r="104" spans="1:16" ht="98.25">
      <c r="A104" s="77" t="s">
        <v>173</v>
      </c>
      <c r="B104" s="77" t="s">
        <v>174</v>
      </c>
      <c r="C104" s="77" t="s">
        <v>65</v>
      </c>
      <c r="D104" s="57" t="s">
        <v>175</v>
      </c>
      <c r="E104" s="93">
        <f t="shared" si="18"/>
        <v>620642</v>
      </c>
      <c r="F104" s="93">
        <f>605597+15045</f>
        <v>620642</v>
      </c>
      <c r="G104" s="93">
        <v>559424</v>
      </c>
      <c r="H104" s="93">
        <v>26833</v>
      </c>
      <c r="I104" s="93"/>
      <c r="J104" s="93">
        <f aca="true" t="shared" si="20" ref="J104:J175">L104+O104</f>
        <v>0</v>
      </c>
      <c r="K104" s="93"/>
      <c r="L104" s="93"/>
      <c r="M104" s="93"/>
      <c r="N104" s="93"/>
      <c r="O104" s="93">
        <f aca="true" t="shared" si="21" ref="O104:O175">K104</f>
        <v>0</v>
      </c>
      <c r="P104" s="94">
        <f t="shared" si="19"/>
        <v>620642</v>
      </c>
    </row>
    <row r="105" spans="1:16" ht="48.75">
      <c r="A105" s="77" t="s">
        <v>176</v>
      </c>
      <c r="B105" s="77" t="s">
        <v>177</v>
      </c>
      <c r="C105" s="77" t="s">
        <v>65</v>
      </c>
      <c r="D105" s="57" t="s">
        <v>178</v>
      </c>
      <c r="E105" s="93">
        <f t="shared" si="18"/>
        <v>5000</v>
      </c>
      <c r="F105" s="93">
        <v>5000</v>
      </c>
      <c r="G105" s="93"/>
      <c r="H105" s="93"/>
      <c r="I105" s="93"/>
      <c r="J105" s="93">
        <f t="shared" si="20"/>
        <v>0</v>
      </c>
      <c r="K105" s="93"/>
      <c r="L105" s="93"/>
      <c r="M105" s="93"/>
      <c r="N105" s="93"/>
      <c r="O105" s="93">
        <f t="shared" si="21"/>
        <v>0</v>
      </c>
      <c r="P105" s="94">
        <f t="shared" si="19"/>
        <v>5000</v>
      </c>
    </row>
    <row r="106" spans="1:16" ht="270">
      <c r="A106" s="77" t="s">
        <v>289</v>
      </c>
      <c r="B106" s="77" t="s">
        <v>290</v>
      </c>
      <c r="C106" s="77" t="s">
        <v>133</v>
      </c>
      <c r="D106" s="57" t="s">
        <v>291</v>
      </c>
      <c r="E106" s="93">
        <f t="shared" si="18"/>
        <v>606834</v>
      </c>
      <c r="F106" s="93">
        <v>606834</v>
      </c>
      <c r="G106" s="93"/>
      <c r="H106" s="93"/>
      <c r="I106" s="93"/>
      <c r="J106" s="93">
        <f t="shared" si="20"/>
        <v>0</v>
      </c>
      <c r="K106" s="93"/>
      <c r="L106" s="93"/>
      <c r="M106" s="93"/>
      <c r="N106" s="93"/>
      <c r="O106" s="93">
        <f t="shared" si="21"/>
        <v>0</v>
      </c>
      <c r="P106" s="94">
        <f t="shared" si="19"/>
        <v>606834</v>
      </c>
    </row>
    <row r="107" spans="1:16" ht="221.25">
      <c r="A107" s="82" t="s">
        <v>292</v>
      </c>
      <c r="B107" s="82" t="s">
        <v>293</v>
      </c>
      <c r="C107" s="82" t="s">
        <v>294</v>
      </c>
      <c r="D107" s="61" t="s">
        <v>295</v>
      </c>
      <c r="E107" s="93">
        <f t="shared" si="18"/>
        <v>310166</v>
      </c>
      <c r="F107" s="93">
        <v>310166</v>
      </c>
      <c r="G107" s="93"/>
      <c r="H107" s="93"/>
      <c r="I107" s="93"/>
      <c r="J107" s="93">
        <f t="shared" si="20"/>
        <v>0</v>
      </c>
      <c r="K107" s="93"/>
      <c r="L107" s="93"/>
      <c r="M107" s="93"/>
      <c r="N107" s="93"/>
      <c r="O107" s="93">
        <f t="shared" si="21"/>
        <v>0</v>
      </c>
      <c r="P107" s="94">
        <f t="shared" si="19"/>
        <v>310166</v>
      </c>
    </row>
    <row r="108" spans="1:16" ht="73.5">
      <c r="A108" s="77" t="s">
        <v>296</v>
      </c>
      <c r="B108" s="77" t="s">
        <v>68</v>
      </c>
      <c r="C108" s="77" t="s">
        <v>69</v>
      </c>
      <c r="D108" s="57" t="s">
        <v>70</v>
      </c>
      <c r="E108" s="93">
        <f t="shared" si="18"/>
        <v>303324</v>
      </c>
      <c r="F108" s="93">
        <f>253324+50000</f>
        <v>303324</v>
      </c>
      <c r="G108" s="93"/>
      <c r="H108" s="93"/>
      <c r="I108" s="93"/>
      <c r="J108" s="93">
        <f t="shared" si="20"/>
        <v>0</v>
      </c>
      <c r="K108" s="93"/>
      <c r="L108" s="93"/>
      <c r="M108" s="93"/>
      <c r="N108" s="93"/>
      <c r="O108" s="93">
        <f t="shared" si="21"/>
        <v>0</v>
      </c>
      <c r="P108" s="94">
        <f t="shared" si="19"/>
        <v>303324</v>
      </c>
    </row>
    <row r="109" spans="1:16" ht="147">
      <c r="A109" s="77" t="s">
        <v>297</v>
      </c>
      <c r="B109" s="77" t="s">
        <v>298</v>
      </c>
      <c r="C109" s="77" t="s">
        <v>69</v>
      </c>
      <c r="D109" s="57" t="s">
        <v>299</v>
      </c>
      <c r="E109" s="93">
        <f t="shared" si="18"/>
        <v>400000</v>
      </c>
      <c r="F109" s="93">
        <f>300000+100000</f>
        <v>400000</v>
      </c>
      <c r="G109" s="93"/>
      <c r="H109" s="93"/>
      <c r="I109" s="93"/>
      <c r="J109" s="93">
        <f t="shared" si="20"/>
        <v>0</v>
      </c>
      <c r="K109" s="93"/>
      <c r="L109" s="93"/>
      <c r="M109" s="93"/>
      <c r="N109" s="93"/>
      <c r="O109" s="93">
        <f t="shared" si="21"/>
        <v>0</v>
      </c>
      <c r="P109" s="94">
        <f t="shared" si="19"/>
        <v>400000</v>
      </c>
    </row>
    <row r="110" spans="1:16" ht="48.75">
      <c r="A110" s="80" t="s">
        <v>390</v>
      </c>
      <c r="B110" s="80" t="s">
        <v>367</v>
      </c>
      <c r="C110" s="80" t="s">
        <v>368</v>
      </c>
      <c r="D110" s="69" t="s">
        <v>369</v>
      </c>
      <c r="E110" s="93">
        <f t="shared" si="18"/>
        <v>11520</v>
      </c>
      <c r="F110" s="93">
        <v>11520</v>
      </c>
      <c r="G110" s="93">
        <v>11520</v>
      </c>
      <c r="H110" s="93"/>
      <c r="I110" s="93"/>
      <c r="J110" s="93"/>
      <c r="K110" s="93"/>
      <c r="L110" s="93"/>
      <c r="M110" s="93"/>
      <c r="N110" s="93"/>
      <c r="O110" s="93"/>
      <c r="P110" s="94">
        <f t="shared" si="19"/>
        <v>11520</v>
      </c>
    </row>
    <row r="111" spans="1:16" ht="73.5">
      <c r="A111" s="80" t="s">
        <v>300</v>
      </c>
      <c r="B111" s="80" t="s">
        <v>72</v>
      </c>
      <c r="C111" s="80" t="s">
        <v>73</v>
      </c>
      <c r="D111" s="69" t="s">
        <v>74</v>
      </c>
      <c r="E111" s="93">
        <f t="shared" si="18"/>
        <v>789380</v>
      </c>
      <c r="F111" s="93">
        <v>789380</v>
      </c>
      <c r="G111" s="93"/>
      <c r="H111" s="93"/>
      <c r="I111" s="93"/>
      <c r="J111" s="93">
        <f t="shared" si="20"/>
        <v>0</v>
      </c>
      <c r="K111" s="93"/>
      <c r="L111" s="93"/>
      <c r="M111" s="93"/>
      <c r="N111" s="93"/>
      <c r="O111" s="93">
        <f t="shared" si="21"/>
        <v>0</v>
      </c>
      <c r="P111" s="94">
        <f t="shared" si="19"/>
        <v>789380</v>
      </c>
    </row>
    <row r="112" spans="1:16" ht="48.75">
      <c r="A112" s="80" t="s">
        <v>389</v>
      </c>
      <c r="B112" s="80" t="s">
        <v>258</v>
      </c>
      <c r="C112" s="80" t="s">
        <v>99</v>
      </c>
      <c r="D112" s="69" t="s">
        <v>338</v>
      </c>
      <c r="E112" s="99"/>
      <c r="F112" s="99"/>
      <c r="G112" s="99"/>
      <c r="H112" s="99"/>
      <c r="I112" s="99"/>
      <c r="J112" s="93">
        <f t="shared" si="20"/>
        <v>51460</v>
      </c>
      <c r="K112" s="99">
        <f>51460</f>
        <v>51460</v>
      </c>
      <c r="L112" s="99"/>
      <c r="M112" s="99"/>
      <c r="N112" s="99"/>
      <c r="O112" s="93">
        <f t="shared" si="21"/>
        <v>51460</v>
      </c>
      <c r="P112" s="94">
        <f t="shared" si="19"/>
        <v>51460</v>
      </c>
    </row>
    <row r="113" spans="1:16" ht="49.5" thickBot="1">
      <c r="A113" s="79" t="s">
        <v>301</v>
      </c>
      <c r="B113" s="79" t="s">
        <v>109</v>
      </c>
      <c r="C113" s="79" t="s">
        <v>100</v>
      </c>
      <c r="D113" s="70" t="s">
        <v>110</v>
      </c>
      <c r="E113" s="96">
        <f t="shared" si="18"/>
        <v>35698</v>
      </c>
      <c r="F113" s="96">
        <v>35698</v>
      </c>
      <c r="G113" s="96"/>
      <c r="H113" s="96"/>
      <c r="I113" s="96"/>
      <c r="J113" s="96">
        <f t="shared" si="20"/>
        <v>0</v>
      </c>
      <c r="K113" s="96"/>
      <c r="L113" s="96"/>
      <c r="M113" s="96"/>
      <c r="N113" s="96"/>
      <c r="O113" s="96">
        <f t="shared" si="21"/>
        <v>0</v>
      </c>
      <c r="P113" s="95">
        <f t="shared" si="19"/>
        <v>35698</v>
      </c>
    </row>
    <row r="114" spans="1:16" s="15" customFormat="1" ht="72">
      <c r="A114" s="75" t="s">
        <v>179</v>
      </c>
      <c r="B114" s="75"/>
      <c r="C114" s="75"/>
      <c r="D114" s="54" t="s">
        <v>180</v>
      </c>
      <c r="E114" s="97">
        <f>E115</f>
        <v>33457992</v>
      </c>
      <c r="F114" s="97">
        <f aca="true" t="shared" si="22" ref="F114:N114">F115</f>
        <v>33457992</v>
      </c>
      <c r="G114" s="97">
        <f t="shared" si="22"/>
        <v>27744446</v>
      </c>
      <c r="H114" s="97">
        <f t="shared" si="22"/>
        <v>3633904</v>
      </c>
      <c r="I114" s="97">
        <f t="shared" si="22"/>
        <v>0</v>
      </c>
      <c r="J114" s="97">
        <f t="shared" si="22"/>
        <v>3120919</v>
      </c>
      <c r="K114" s="97">
        <f t="shared" si="22"/>
        <v>2013574</v>
      </c>
      <c r="L114" s="97">
        <f t="shared" si="22"/>
        <v>1107345</v>
      </c>
      <c r="M114" s="97">
        <f t="shared" si="22"/>
        <v>916905</v>
      </c>
      <c r="N114" s="97">
        <f t="shared" si="22"/>
        <v>18741</v>
      </c>
      <c r="O114" s="97">
        <f t="shared" si="21"/>
        <v>2013574</v>
      </c>
      <c r="P114" s="91">
        <f t="shared" si="19"/>
        <v>36578911</v>
      </c>
    </row>
    <row r="115" spans="1:16" s="15" customFormat="1" ht="72">
      <c r="A115" s="75" t="s">
        <v>181</v>
      </c>
      <c r="B115" s="75"/>
      <c r="C115" s="75"/>
      <c r="D115" s="54" t="s">
        <v>180</v>
      </c>
      <c r="E115" s="101">
        <f>SUM(E116:E125)</f>
        <v>33457992</v>
      </c>
      <c r="F115" s="101">
        <f aca="true" t="shared" si="23" ref="F115:N115">SUM(F116:F125)</f>
        <v>33457992</v>
      </c>
      <c r="G115" s="101">
        <f t="shared" si="23"/>
        <v>27744446</v>
      </c>
      <c r="H115" s="101">
        <f t="shared" si="23"/>
        <v>3633904</v>
      </c>
      <c r="I115" s="101">
        <f t="shared" si="23"/>
        <v>0</v>
      </c>
      <c r="J115" s="101">
        <f t="shared" si="23"/>
        <v>3120919</v>
      </c>
      <c r="K115" s="101">
        <f t="shared" si="23"/>
        <v>2013574</v>
      </c>
      <c r="L115" s="101">
        <f t="shared" si="23"/>
        <v>1107345</v>
      </c>
      <c r="M115" s="101">
        <f t="shared" si="23"/>
        <v>916905</v>
      </c>
      <c r="N115" s="101">
        <f t="shared" si="23"/>
        <v>18741</v>
      </c>
      <c r="O115" s="101">
        <f t="shared" si="21"/>
        <v>2013574</v>
      </c>
      <c r="P115" s="92">
        <f t="shared" si="19"/>
        <v>36578911</v>
      </c>
    </row>
    <row r="116" spans="1:16" ht="123">
      <c r="A116" s="77" t="s">
        <v>182</v>
      </c>
      <c r="B116" s="77" t="s">
        <v>130</v>
      </c>
      <c r="C116" s="77" t="s">
        <v>35</v>
      </c>
      <c r="D116" s="57" t="s">
        <v>131</v>
      </c>
      <c r="E116" s="93">
        <f>F116</f>
        <v>859364</v>
      </c>
      <c r="F116" s="93">
        <f>820650+38714</f>
        <v>859364</v>
      </c>
      <c r="G116" s="93">
        <f>784745+38714</f>
        <v>823459</v>
      </c>
      <c r="H116" s="93">
        <v>17505</v>
      </c>
      <c r="I116" s="93"/>
      <c r="J116" s="93">
        <f t="shared" si="20"/>
        <v>0</v>
      </c>
      <c r="K116" s="93"/>
      <c r="L116" s="93"/>
      <c r="M116" s="93"/>
      <c r="N116" s="93"/>
      <c r="O116" s="93">
        <f t="shared" si="21"/>
        <v>0</v>
      </c>
      <c r="P116" s="94">
        <f t="shared" si="19"/>
        <v>859364</v>
      </c>
    </row>
    <row r="117" spans="1:16" ht="48.75">
      <c r="A117" s="77" t="s">
        <v>183</v>
      </c>
      <c r="B117" s="77" t="s">
        <v>184</v>
      </c>
      <c r="C117" s="77" t="s">
        <v>146</v>
      </c>
      <c r="D117" s="57" t="s">
        <v>343</v>
      </c>
      <c r="E117" s="93">
        <f>F117</f>
        <v>15243523</v>
      </c>
      <c r="F117" s="93">
        <f>15295783-52260</f>
        <v>15243523</v>
      </c>
      <c r="G117" s="93">
        <v>13634760</v>
      </c>
      <c r="H117" s="93">
        <f>1521252+70866-52260</f>
        <v>1539858</v>
      </c>
      <c r="I117" s="93"/>
      <c r="J117" s="93">
        <f t="shared" si="20"/>
        <v>924685</v>
      </c>
      <c r="K117" s="93"/>
      <c r="L117" s="93">
        <v>924685</v>
      </c>
      <c r="M117" s="93">
        <v>898605</v>
      </c>
      <c r="N117" s="93">
        <v>5851</v>
      </c>
      <c r="O117" s="93">
        <f t="shared" si="21"/>
        <v>0</v>
      </c>
      <c r="P117" s="94">
        <f t="shared" si="19"/>
        <v>16168208</v>
      </c>
    </row>
    <row r="118" spans="1:16" ht="48.75">
      <c r="A118" s="77" t="s">
        <v>185</v>
      </c>
      <c r="B118" s="77" t="s">
        <v>186</v>
      </c>
      <c r="C118" s="77" t="s">
        <v>187</v>
      </c>
      <c r="D118" s="57" t="s">
        <v>188</v>
      </c>
      <c r="E118" s="93">
        <f aca="true" t="shared" si="24" ref="E118:E125">F118</f>
        <v>4732724</v>
      </c>
      <c r="F118" s="93">
        <f>4687744-29863+114843-40000</f>
        <v>4732724</v>
      </c>
      <c r="G118" s="93">
        <f>4067055+118170-9969+94288</f>
        <v>4269544</v>
      </c>
      <c r="H118" s="93">
        <f>283262+29236-29863+11835</f>
        <v>294470</v>
      </c>
      <c r="I118" s="93"/>
      <c r="J118" s="93">
        <f t="shared" si="20"/>
        <v>48160</v>
      </c>
      <c r="K118" s="93">
        <f>40000</f>
        <v>40000</v>
      </c>
      <c r="L118" s="93">
        <v>8160</v>
      </c>
      <c r="M118" s="93"/>
      <c r="N118" s="93">
        <v>1370</v>
      </c>
      <c r="O118" s="93">
        <f t="shared" si="21"/>
        <v>40000</v>
      </c>
      <c r="P118" s="94">
        <f t="shared" si="19"/>
        <v>4780884</v>
      </c>
    </row>
    <row r="119" spans="1:16" ht="48.75">
      <c r="A119" s="77" t="s">
        <v>189</v>
      </c>
      <c r="B119" s="77" t="s">
        <v>190</v>
      </c>
      <c r="C119" s="77" t="s">
        <v>187</v>
      </c>
      <c r="D119" s="57" t="s">
        <v>191</v>
      </c>
      <c r="E119" s="93">
        <f t="shared" si="24"/>
        <v>1279372</v>
      </c>
      <c r="F119" s="93">
        <f>1259549-2738+22561</f>
        <v>1279372</v>
      </c>
      <c r="G119" s="93">
        <f>738354+141385</f>
        <v>879739</v>
      </c>
      <c r="H119" s="93">
        <f>320686-2738</f>
        <v>317948</v>
      </c>
      <c r="I119" s="93"/>
      <c r="J119" s="93">
        <f t="shared" si="20"/>
        <v>14500</v>
      </c>
      <c r="K119" s="93"/>
      <c r="L119" s="93">
        <v>14500</v>
      </c>
      <c r="M119" s="93"/>
      <c r="N119" s="93"/>
      <c r="O119" s="93">
        <f t="shared" si="21"/>
        <v>0</v>
      </c>
      <c r="P119" s="94">
        <f t="shared" si="19"/>
        <v>1293872</v>
      </c>
    </row>
    <row r="120" spans="1:16" ht="134.25" customHeight="1">
      <c r="A120" s="77" t="s">
        <v>192</v>
      </c>
      <c r="B120" s="77" t="s">
        <v>193</v>
      </c>
      <c r="C120" s="77" t="s">
        <v>194</v>
      </c>
      <c r="D120" s="56" t="s">
        <v>195</v>
      </c>
      <c r="E120" s="93">
        <f t="shared" si="24"/>
        <v>8913996</v>
      </c>
      <c r="F120" s="93">
        <f>8222947-11199+682826+19422</f>
        <v>8913996</v>
      </c>
      <c r="G120" s="93">
        <f>6755061+423754</f>
        <v>7178815</v>
      </c>
      <c r="H120" s="93">
        <f>1180634+4828+13025+15467-11199+234527</f>
        <v>1437282</v>
      </c>
      <c r="I120" s="93"/>
      <c r="J120" s="93">
        <f t="shared" si="20"/>
        <v>1035682</v>
      </c>
      <c r="K120" s="93">
        <f>845082+30600</f>
        <v>875682</v>
      </c>
      <c r="L120" s="93">
        <v>160000</v>
      </c>
      <c r="M120" s="93">
        <v>18300</v>
      </c>
      <c r="N120" s="93">
        <v>11520</v>
      </c>
      <c r="O120" s="93">
        <f t="shared" si="21"/>
        <v>875682</v>
      </c>
      <c r="P120" s="94">
        <f t="shared" si="19"/>
        <v>9949678</v>
      </c>
    </row>
    <row r="121" spans="1:16" ht="73.5">
      <c r="A121" s="82" t="s">
        <v>196</v>
      </c>
      <c r="B121" s="82" t="s">
        <v>197</v>
      </c>
      <c r="C121" s="77" t="s">
        <v>198</v>
      </c>
      <c r="D121" s="67" t="s">
        <v>199</v>
      </c>
      <c r="E121" s="93">
        <f t="shared" si="24"/>
        <v>970918</v>
      </c>
      <c r="F121" s="93">
        <v>970918</v>
      </c>
      <c r="G121" s="93">
        <v>914514</v>
      </c>
      <c r="H121" s="93">
        <v>26841</v>
      </c>
      <c r="I121" s="93"/>
      <c r="J121" s="93">
        <f t="shared" si="20"/>
        <v>0</v>
      </c>
      <c r="K121" s="93"/>
      <c r="L121" s="93"/>
      <c r="M121" s="93"/>
      <c r="N121" s="93"/>
      <c r="O121" s="93">
        <f t="shared" si="21"/>
        <v>0</v>
      </c>
      <c r="P121" s="94">
        <f t="shared" si="19"/>
        <v>970918</v>
      </c>
    </row>
    <row r="122" spans="1:16" ht="48.75">
      <c r="A122" s="77" t="s">
        <v>200</v>
      </c>
      <c r="B122" s="77" t="s">
        <v>201</v>
      </c>
      <c r="C122" s="83" t="s">
        <v>198</v>
      </c>
      <c r="D122" s="57" t="s">
        <v>202</v>
      </c>
      <c r="E122" s="93">
        <f t="shared" si="24"/>
        <v>1298095</v>
      </c>
      <c r="F122" s="93">
        <f>1250850+47245</f>
        <v>1298095</v>
      </c>
      <c r="G122" s="93">
        <v>43615</v>
      </c>
      <c r="H122" s="93"/>
      <c r="I122" s="93"/>
      <c r="J122" s="93">
        <f t="shared" si="20"/>
        <v>0</v>
      </c>
      <c r="K122" s="93"/>
      <c r="L122" s="93"/>
      <c r="M122" s="93"/>
      <c r="N122" s="93"/>
      <c r="O122" s="93">
        <f t="shared" si="21"/>
        <v>0</v>
      </c>
      <c r="P122" s="94">
        <f t="shared" si="19"/>
        <v>1298095</v>
      </c>
    </row>
    <row r="123" spans="1:16" ht="48.75">
      <c r="A123" s="80" t="s">
        <v>370</v>
      </c>
      <c r="B123" s="80" t="s">
        <v>371</v>
      </c>
      <c r="C123" s="109" t="s">
        <v>99</v>
      </c>
      <c r="D123" s="69" t="s">
        <v>372</v>
      </c>
      <c r="E123" s="99"/>
      <c r="F123" s="99"/>
      <c r="G123" s="99"/>
      <c r="H123" s="99"/>
      <c r="I123" s="99"/>
      <c r="J123" s="99">
        <f t="shared" si="20"/>
        <v>897892</v>
      </c>
      <c r="K123" s="99">
        <f>297892+600000</f>
        <v>897892</v>
      </c>
      <c r="L123" s="99"/>
      <c r="M123" s="99"/>
      <c r="N123" s="99"/>
      <c r="O123" s="99">
        <f>K123</f>
        <v>897892</v>
      </c>
      <c r="P123" s="94">
        <f t="shared" si="19"/>
        <v>897892</v>
      </c>
    </row>
    <row r="124" spans="1:16" ht="73.5">
      <c r="A124" s="80" t="s">
        <v>373</v>
      </c>
      <c r="B124" s="80" t="s">
        <v>374</v>
      </c>
      <c r="C124" s="109" t="s">
        <v>99</v>
      </c>
      <c r="D124" s="69" t="s">
        <v>375</v>
      </c>
      <c r="E124" s="99"/>
      <c r="F124" s="99"/>
      <c r="G124" s="99"/>
      <c r="H124" s="99"/>
      <c r="I124" s="99"/>
      <c r="J124" s="99">
        <f t="shared" si="20"/>
        <v>200000</v>
      </c>
      <c r="K124" s="99">
        <f>200000</f>
        <v>200000</v>
      </c>
      <c r="L124" s="99"/>
      <c r="M124" s="99"/>
      <c r="N124" s="99"/>
      <c r="O124" s="99">
        <f>K124</f>
        <v>200000</v>
      </c>
      <c r="P124" s="94">
        <f t="shared" si="19"/>
        <v>200000</v>
      </c>
    </row>
    <row r="125" spans="1:16" ht="49.5" thickBot="1">
      <c r="A125" s="79" t="s">
        <v>203</v>
      </c>
      <c r="B125" s="79" t="s">
        <v>204</v>
      </c>
      <c r="C125" s="79" t="s">
        <v>205</v>
      </c>
      <c r="D125" s="72" t="s">
        <v>206</v>
      </c>
      <c r="E125" s="96">
        <f t="shared" si="24"/>
        <v>160000</v>
      </c>
      <c r="F125" s="96">
        <f>80000+80000</f>
        <v>160000</v>
      </c>
      <c r="G125" s="96"/>
      <c r="H125" s="96"/>
      <c r="I125" s="96"/>
      <c r="J125" s="96">
        <f t="shared" si="20"/>
        <v>0</v>
      </c>
      <c r="K125" s="96"/>
      <c r="L125" s="96"/>
      <c r="M125" s="96"/>
      <c r="N125" s="96"/>
      <c r="O125" s="96">
        <f t="shared" si="21"/>
        <v>0</v>
      </c>
      <c r="P125" s="95">
        <f t="shared" si="19"/>
        <v>160000</v>
      </c>
    </row>
    <row r="126" spans="1:16" s="15" customFormat="1" ht="96">
      <c r="A126" s="75" t="s">
        <v>207</v>
      </c>
      <c r="B126" s="84"/>
      <c r="C126" s="85"/>
      <c r="D126" s="54" t="s">
        <v>208</v>
      </c>
      <c r="E126" s="97">
        <f>E127</f>
        <v>10302785</v>
      </c>
      <c r="F126" s="97">
        <f aca="true" t="shared" si="25" ref="F126:N126">F127</f>
        <v>10302785</v>
      </c>
      <c r="G126" s="97">
        <f t="shared" si="25"/>
        <v>3878264</v>
      </c>
      <c r="H126" s="97">
        <f t="shared" si="25"/>
        <v>72537</v>
      </c>
      <c r="I126" s="97">
        <f t="shared" si="25"/>
        <v>0</v>
      </c>
      <c r="J126" s="97">
        <f t="shared" si="25"/>
        <v>1488615</v>
      </c>
      <c r="K126" s="97">
        <f t="shared" si="25"/>
        <v>1488615</v>
      </c>
      <c r="L126" s="97">
        <f t="shared" si="25"/>
        <v>0</v>
      </c>
      <c r="M126" s="97">
        <f t="shared" si="25"/>
        <v>0</v>
      </c>
      <c r="N126" s="97">
        <f t="shared" si="25"/>
        <v>0</v>
      </c>
      <c r="O126" s="97">
        <f t="shared" si="21"/>
        <v>1488615</v>
      </c>
      <c r="P126" s="91">
        <f t="shared" si="19"/>
        <v>11791400</v>
      </c>
    </row>
    <row r="127" spans="1:16" s="15" customFormat="1" ht="96">
      <c r="A127" s="76" t="s">
        <v>209</v>
      </c>
      <c r="B127" s="76"/>
      <c r="C127" s="76"/>
      <c r="D127" s="55" t="s">
        <v>208</v>
      </c>
      <c r="E127" s="101">
        <f>SUM(E128:E139)</f>
        <v>10302785</v>
      </c>
      <c r="F127" s="101">
        <f aca="true" t="shared" si="26" ref="F127:N127">SUM(F128:F139)</f>
        <v>10302785</v>
      </c>
      <c r="G127" s="101">
        <f t="shared" si="26"/>
        <v>3878264</v>
      </c>
      <c r="H127" s="101">
        <f t="shared" si="26"/>
        <v>72537</v>
      </c>
      <c r="I127" s="101">
        <f t="shared" si="26"/>
        <v>0</v>
      </c>
      <c r="J127" s="101">
        <f t="shared" si="26"/>
        <v>1488615</v>
      </c>
      <c r="K127" s="101">
        <f t="shared" si="26"/>
        <v>1488615</v>
      </c>
      <c r="L127" s="101">
        <f t="shared" si="26"/>
        <v>0</v>
      </c>
      <c r="M127" s="101">
        <f t="shared" si="26"/>
        <v>0</v>
      </c>
      <c r="N127" s="101">
        <f t="shared" si="26"/>
        <v>0</v>
      </c>
      <c r="O127" s="101">
        <f t="shared" si="21"/>
        <v>1488615</v>
      </c>
      <c r="P127" s="92">
        <f t="shared" si="19"/>
        <v>11791400</v>
      </c>
    </row>
    <row r="128" spans="1:16" ht="123">
      <c r="A128" s="77" t="s">
        <v>210</v>
      </c>
      <c r="B128" s="77" t="s">
        <v>130</v>
      </c>
      <c r="C128" s="77" t="s">
        <v>35</v>
      </c>
      <c r="D128" s="57" t="s">
        <v>131</v>
      </c>
      <c r="E128" s="93">
        <f aca="true" t="shared" si="27" ref="E128:E139">F128</f>
        <v>1075061</v>
      </c>
      <c r="F128" s="93">
        <f>1028030+47031</f>
        <v>1075061</v>
      </c>
      <c r="G128" s="93">
        <f>970553+47031</f>
        <v>1017584</v>
      </c>
      <c r="H128" s="93">
        <v>25477</v>
      </c>
      <c r="I128" s="93"/>
      <c r="J128" s="93">
        <f t="shared" si="20"/>
        <v>0</v>
      </c>
      <c r="K128" s="93"/>
      <c r="L128" s="93"/>
      <c r="M128" s="93"/>
      <c r="N128" s="93"/>
      <c r="O128" s="93">
        <f t="shared" si="21"/>
        <v>0</v>
      </c>
      <c r="P128" s="94">
        <f t="shared" si="19"/>
        <v>1075061</v>
      </c>
    </row>
    <row r="129" spans="1:16" ht="48.75">
      <c r="A129" s="77" t="s">
        <v>211</v>
      </c>
      <c r="B129" s="77" t="s">
        <v>212</v>
      </c>
      <c r="C129" s="77" t="s">
        <v>65</v>
      </c>
      <c r="D129" s="62" t="s">
        <v>213</v>
      </c>
      <c r="E129" s="93">
        <f t="shared" si="27"/>
        <v>70700</v>
      </c>
      <c r="F129" s="93">
        <v>70700</v>
      </c>
      <c r="G129" s="93"/>
      <c r="H129" s="93"/>
      <c r="I129" s="93"/>
      <c r="J129" s="93">
        <f t="shared" si="20"/>
        <v>0</v>
      </c>
      <c r="K129" s="93"/>
      <c r="L129" s="93"/>
      <c r="M129" s="93"/>
      <c r="N129" s="93"/>
      <c r="O129" s="93">
        <f t="shared" si="21"/>
        <v>0</v>
      </c>
      <c r="P129" s="94">
        <f t="shared" si="19"/>
        <v>70700</v>
      </c>
    </row>
    <row r="130" spans="1:16" ht="221.25">
      <c r="A130" s="77" t="s">
        <v>214</v>
      </c>
      <c r="B130" s="77" t="s">
        <v>215</v>
      </c>
      <c r="C130" s="77" t="s">
        <v>65</v>
      </c>
      <c r="D130" s="62" t="s">
        <v>216</v>
      </c>
      <c r="E130" s="93">
        <f t="shared" si="27"/>
        <v>361200</v>
      </c>
      <c r="F130" s="93">
        <f>361200</f>
        <v>361200</v>
      </c>
      <c r="G130" s="93"/>
      <c r="H130" s="93"/>
      <c r="I130" s="93"/>
      <c r="J130" s="93">
        <f t="shared" si="20"/>
        <v>0</v>
      </c>
      <c r="K130" s="93"/>
      <c r="L130" s="93"/>
      <c r="M130" s="93"/>
      <c r="N130" s="93"/>
      <c r="O130" s="93">
        <f t="shared" si="21"/>
        <v>0</v>
      </c>
      <c r="P130" s="94">
        <f t="shared" si="19"/>
        <v>361200</v>
      </c>
    </row>
    <row r="131" spans="1:16" ht="48.75">
      <c r="A131" s="77" t="s">
        <v>391</v>
      </c>
      <c r="B131" s="77" t="s">
        <v>367</v>
      </c>
      <c r="C131" s="77" t="s">
        <v>368</v>
      </c>
      <c r="D131" s="62" t="s">
        <v>369</v>
      </c>
      <c r="E131" s="93">
        <f>F131</f>
        <v>11520</v>
      </c>
      <c r="F131" s="93">
        <v>11520</v>
      </c>
      <c r="G131" s="93"/>
      <c r="H131" s="93"/>
      <c r="I131" s="93"/>
      <c r="J131" s="93"/>
      <c r="K131" s="93"/>
      <c r="L131" s="93"/>
      <c r="M131" s="93"/>
      <c r="N131" s="93"/>
      <c r="O131" s="93"/>
      <c r="P131" s="94">
        <f t="shared" si="19"/>
        <v>11520</v>
      </c>
    </row>
    <row r="132" spans="1:16" ht="98.25">
      <c r="A132" s="77" t="s">
        <v>217</v>
      </c>
      <c r="B132" s="77" t="s">
        <v>218</v>
      </c>
      <c r="C132" s="77" t="s">
        <v>161</v>
      </c>
      <c r="D132" s="57" t="s">
        <v>219</v>
      </c>
      <c r="E132" s="93">
        <f t="shared" si="27"/>
        <v>440000</v>
      </c>
      <c r="F132" s="93">
        <f>440000</f>
        <v>440000</v>
      </c>
      <c r="G132" s="93"/>
      <c r="H132" s="93"/>
      <c r="I132" s="93"/>
      <c r="J132" s="93">
        <f t="shared" si="20"/>
        <v>0</v>
      </c>
      <c r="K132" s="93"/>
      <c r="L132" s="93"/>
      <c r="M132" s="93"/>
      <c r="N132" s="93"/>
      <c r="O132" s="93">
        <f t="shared" si="21"/>
        <v>0</v>
      </c>
      <c r="P132" s="94">
        <f t="shared" si="19"/>
        <v>440000</v>
      </c>
    </row>
    <row r="133" spans="1:16" ht="98.25">
      <c r="A133" s="77" t="s">
        <v>220</v>
      </c>
      <c r="B133" s="77" t="s">
        <v>160</v>
      </c>
      <c r="C133" s="77" t="s">
        <v>161</v>
      </c>
      <c r="D133" s="57" t="s">
        <v>162</v>
      </c>
      <c r="E133" s="93">
        <f t="shared" si="27"/>
        <v>2732769</v>
      </c>
      <c r="F133" s="93">
        <f>2732769</f>
        <v>2732769</v>
      </c>
      <c r="G133" s="93">
        <f>2253756+391814</f>
        <v>2645570</v>
      </c>
      <c r="H133" s="93">
        <f>42032</f>
        <v>42032</v>
      </c>
      <c r="I133" s="93"/>
      <c r="J133" s="93">
        <f t="shared" si="20"/>
        <v>0</v>
      </c>
      <c r="K133" s="93"/>
      <c r="L133" s="93"/>
      <c r="M133" s="93"/>
      <c r="N133" s="93"/>
      <c r="O133" s="93">
        <f t="shared" si="21"/>
        <v>0</v>
      </c>
      <c r="P133" s="94">
        <f t="shared" si="19"/>
        <v>2732769</v>
      </c>
    </row>
    <row r="134" spans="1:16" ht="73.5">
      <c r="A134" s="77" t="s">
        <v>221</v>
      </c>
      <c r="B134" s="77" t="s">
        <v>222</v>
      </c>
      <c r="C134" s="77" t="s">
        <v>161</v>
      </c>
      <c r="D134" s="57" t="s">
        <v>223</v>
      </c>
      <c r="E134" s="93">
        <f t="shared" si="27"/>
        <v>3737335</v>
      </c>
      <c r="F134" s="93">
        <f>3651500+85835</f>
        <v>3737335</v>
      </c>
      <c r="G134" s="93"/>
      <c r="H134" s="93"/>
      <c r="I134" s="93"/>
      <c r="J134" s="93">
        <f t="shared" si="20"/>
        <v>0</v>
      </c>
      <c r="K134" s="93"/>
      <c r="L134" s="93"/>
      <c r="M134" s="93"/>
      <c r="N134" s="93"/>
      <c r="O134" s="93">
        <f t="shared" si="21"/>
        <v>0</v>
      </c>
      <c r="P134" s="94">
        <f t="shared" si="19"/>
        <v>3737335</v>
      </c>
    </row>
    <row r="135" spans="1:16" ht="123">
      <c r="A135" s="77" t="s">
        <v>224</v>
      </c>
      <c r="B135" s="77" t="s">
        <v>225</v>
      </c>
      <c r="C135" s="77" t="s">
        <v>161</v>
      </c>
      <c r="D135" s="62" t="s">
        <v>226</v>
      </c>
      <c r="E135" s="93">
        <f t="shared" si="27"/>
        <v>1630200</v>
      </c>
      <c r="F135" s="93">
        <v>1630200</v>
      </c>
      <c r="G135" s="93"/>
      <c r="H135" s="93"/>
      <c r="I135" s="93"/>
      <c r="J135" s="93">
        <f t="shared" si="20"/>
        <v>0</v>
      </c>
      <c r="K135" s="93"/>
      <c r="L135" s="93"/>
      <c r="M135" s="93"/>
      <c r="N135" s="93"/>
      <c r="O135" s="93">
        <f t="shared" si="21"/>
        <v>0</v>
      </c>
      <c r="P135" s="94">
        <f t="shared" si="19"/>
        <v>1630200</v>
      </c>
    </row>
    <row r="136" spans="1:16" ht="48.75">
      <c r="A136" s="77" t="s">
        <v>227</v>
      </c>
      <c r="B136" s="77" t="s">
        <v>228</v>
      </c>
      <c r="C136" s="77" t="s">
        <v>161</v>
      </c>
      <c r="D136" s="62" t="s">
        <v>229</v>
      </c>
      <c r="E136" s="93">
        <f t="shared" si="27"/>
        <v>226000</v>
      </c>
      <c r="F136" s="93">
        <v>226000</v>
      </c>
      <c r="G136" s="93">
        <v>215110</v>
      </c>
      <c r="H136" s="93">
        <v>5028</v>
      </c>
      <c r="I136" s="93"/>
      <c r="J136" s="93">
        <f t="shared" si="20"/>
        <v>0</v>
      </c>
      <c r="K136" s="93"/>
      <c r="L136" s="93"/>
      <c r="M136" s="93"/>
      <c r="N136" s="93"/>
      <c r="O136" s="93">
        <f t="shared" si="21"/>
        <v>0</v>
      </c>
      <c r="P136" s="94">
        <f t="shared" si="19"/>
        <v>226000</v>
      </c>
    </row>
    <row r="137" spans="1:16" ht="73.5">
      <c r="A137" s="80" t="s">
        <v>347</v>
      </c>
      <c r="B137" s="80" t="s">
        <v>348</v>
      </c>
      <c r="C137" s="77" t="s">
        <v>99</v>
      </c>
      <c r="D137" s="62" t="s">
        <v>349</v>
      </c>
      <c r="E137" s="99"/>
      <c r="F137" s="99"/>
      <c r="G137" s="99"/>
      <c r="H137" s="99"/>
      <c r="I137" s="99"/>
      <c r="J137" s="99">
        <f t="shared" si="20"/>
        <v>575498</v>
      </c>
      <c r="K137" s="99">
        <v>575498</v>
      </c>
      <c r="L137" s="99"/>
      <c r="M137" s="99"/>
      <c r="N137" s="99"/>
      <c r="O137" s="99">
        <f>K137</f>
        <v>575498</v>
      </c>
      <c r="P137" s="94">
        <f t="shared" si="19"/>
        <v>575498</v>
      </c>
    </row>
    <row r="138" spans="1:16" ht="123">
      <c r="A138" s="80" t="s">
        <v>339</v>
      </c>
      <c r="B138" s="80" t="s">
        <v>313</v>
      </c>
      <c r="C138" s="77" t="s">
        <v>100</v>
      </c>
      <c r="D138" s="57" t="s">
        <v>314</v>
      </c>
      <c r="E138" s="99"/>
      <c r="F138" s="99"/>
      <c r="G138" s="99"/>
      <c r="H138" s="99"/>
      <c r="I138" s="99"/>
      <c r="J138" s="99">
        <f t="shared" si="20"/>
        <v>913117</v>
      </c>
      <c r="K138" s="99">
        <f>174734+738383</f>
        <v>913117</v>
      </c>
      <c r="L138" s="99"/>
      <c r="M138" s="99"/>
      <c r="N138" s="99"/>
      <c r="O138" s="99">
        <f>K138</f>
        <v>913117</v>
      </c>
      <c r="P138" s="94">
        <f t="shared" si="19"/>
        <v>913117</v>
      </c>
    </row>
    <row r="139" spans="1:16" ht="49.5" thickBot="1">
      <c r="A139" s="79" t="s">
        <v>230</v>
      </c>
      <c r="B139" s="79" t="s">
        <v>109</v>
      </c>
      <c r="C139" s="79" t="s">
        <v>100</v>
      </c>
      <c r="D139" s="70" t="s">
        <v>110</v>
      </c>
      <c r="E139" s="96">
        <f t="shared" si="27"/>
        <v>18000</v>
      </c>
      <c r="F139" s="96">
        <v>18000</v>
      </c>
      <c r="G139" s="96"/>
      <c r="H139" s="96"/>
      <c r="I139" s="96"/>
      <c r="J139" s="96">
        <f t="shared" si="20"/>
        <v>0</v>
      </c>
      <c r="K139" s="96"/>
      <c r="L139" s="96"/>
      <c r="M139" s="96"/>
      <c r="N139" s="96"/>
      <c r="O139" s="96">
        <f t="shared" si="21"/>
        <v>0</v>
      </c>
      <c r="P139" s="95">
        <f t="shared" si="19"/>
        <v>18000</v>
      </c>
    </row>
    <row r="140" spans="1:16" s="15" customFormat="1" ht="120">
      <c r="A140" s="75" t="s">
        <v>231</v>
      </c>
      <c r="B140" s="75"/>
      <c r="C140" s="75"/>
      <c r="D140" s="73" t="s">
        <v>232</v>
      </c>
      <c r="E140" s="97">
        <f>E141</f>
        <v>1609757</v>
      </c>
      <c r="F140" s="97">
        <f aca="true" t="shared" si="28" ref="F140:N140">F141</f>
        <v>1609757</v>
      </c>
      <c r="G140" s="97">
        <f t="shared" si="28"/>
        <v>1241598</v>
      </c>
      <c r="H140" s="97">
        <f t="shared" si="28"/>
        <v>38432</v>
      </c>
      <c r="I140" s="97">
        <f t="shared" si="28"/>
        <v>0</v>
      </c>
      <c r="J140" s="97">
        <f t="shared" si="28"/>
        <v>3689527</v>
      </c>
      <c r="K140" s="97">
        <f t="shared" si="28"/>
        <v>3689527</v>
      </c>
      <c r="L140" s="97">
        <f t="shared" si="28"/>
        <v>0</v>
      </c>
      <c r="M140" s="97">
        <f t="shared" si="28"/>
        <v>0</v>
      </c>
      <c r="N140" s="97">
        <f t="shared" si="28"/>
        <v>0</v>
      </c>
      <c r="O140" s="97">
        <f t="shared" si="21"/>
        <v>3689527</v>
      </c>
      <c r="P140" s="91">
        <f t="shared" si="19"/>
        <v>5299284</v>
      </c>
    </row>
    <row r="141" spans="1:16" s="15" customFormat="1" ht="120">
      <c r="A141" s="75" t="s">
        <v>233</v>
      </c>
      <c r="B141" s="75"/>
      <c r="C141" s="75"/>
      <c r="D141" s="73" t="s">
        <v>232</v>
      </c>
      <c r="E141" s="101">
        <f>E142+E143+E144+E145</f>
        <v>1609757</v>
      </c>
      <c r="F141" s="101">
        <f aca="true" t="shared" si="29" ref="F141:O141">F142+F143+F144+F145</f>
        <v>1609757</v>
      </c>
      <c r="G141" s="101">
        <f t="shared" si="29"/>
        <v>1241598</v>
      </c>
      <c r="H141" s="101">
        <f t="shared" si="29"/>
        <v>38432</v>
      </c>
      <c r="I141" s="101">
        <f t="shared" si="29"/>
        <v>0</v>
      </c>
      <c r="J141" s="101">
        <f t="shared" si="29"/>
        <v>3689527</v>
      </c>
      <c r="K141" s="101">
        <f t="shared" si="29"/>
        <v>3689527</v>
      </c>
      <c r="L141" s="101">
        <f t="shared" si="29"/>
        <v>0</v>
      </c>
      <c r="M141" s="101">
        <f t="shared" si="29"/>
        <v>0</v>
      </c>
      <c r="N141" s="101">
        <f t="shared" si="29"/>
        <v>0</v>
      </c>
      <c r="O141" s="101">
        <f t="shared" si="29"/>
        <v>3689527</v>
      </c>
      <c r="P141" s="92">
        <f t="shared" si="19"/>
        <v>5299284</v>
      </c>
    </row>
    <row r="142" spans="1:16" ht="123">
      <c r="A142" s="80" t="s">
        <v>234</v>
      </c>
      <c r="B142" s="80" t="s">
        <v>130</v>
      </c>
      <c r="C142" s="80" t="s">
        <v>35</v>
      </c>
      <c r="D142" s="69" t="s">
        <v>131</v>
      </c>
      <c r="E142" s="93">
        <f>F142</f>
        <v>1307359</v>
      </c>
      <c r="F142" s="93">
        <f>1250263+57096</f>
        <v>1307359</v>
      </c>
      <c r="G142" s="93">
        <f>1184502+57096</f>
        <v>1241598</v>
      </c>
      <c r="H142" s="93">
        <v>38432</v>
      </c>
      <c r="I142" s="93"/>
      <c r="J142" s="93">
        <f t="shared" si="20"/>
        <v>0</v>
      </c>
      <c r="K142" s="93"/>
      <c r="L142" s="93"/>
      <c r="M142" s="93"/>
      <c r="N142" s="93"/>
      <c r="O142" s="93">
        <f t="shared" si="21"/>
        <v>0</v>
      </c>
      <c r="P142" s="94">
        <f t="shared" si="19"/>
        <v>1307359</v>
      </c>
    </row>
    <row r="143" spans="1:16" ht="73.5">
      <c r="A143" s="80" t="s">
        <v>393</v>
      </c>
      <c r="B143" s="80" t="s">
        <v>348</v>
      </c>
      <c r="C143" s="80" t="s">
        <v>99</v>
      </c>
      <c r="D143" s="69" t="s">
        <v>349</v>
      </c>
      <c r="E143" s="99"/>
      <c r="F143" s="99"/>
      <c r="G143" s="99"/>
      <c r="H143" s="99"/>
      <c r="I143" s="99"/>
      <c r="J143" s="93">
        <f t="shared" si="20"/>
        <v>22860</v>
      </c>
      <c r="K143" s="99">
        <v>22860</v>
      </c>
      <c r="L143" s="99"/>
      <c r="M143" s="99"/>
      <c r="N143" s="99"/>
      <c r="O143" s="93">
        <f t="shared" si="21"/>
        <v>22860</v>
      </c>
      <c r="P143" s="94">
        <f t="shared" si="19"/>
        <v>22860</v>
      </c>
    </row>
    <row r="144" spans="1:16" ht="123">
      <c r="A144" s="80" t="s">
        <v>392</v>
      </c>
      <c r="B144" s="80" t="s">
        <v>313</v>
      </c>
      <c r="C144" s="80" t="s">
        <v>100</v>
      </c>
      <c r="D144" s="69" t="s">
        <v>314</v>
      </c>
      <c r="E144" s="99"/>
      <c r="F144" s="99"/>
      <c r="G144" s="99"/>
      <c r="H144" s="99"/>
      <c r="I144" s="99"/>
      <c r="J144" s="93">
        <f t="shared" si="20"/>
        <v>3666667</v>
      </c>
      <c r="K144" s="99">
        <f>1945833+4720834-2000000-1000000</f>
        <v>3666667</v>
      </c>
      <c r="L144" s="99"/>
      <c r="M144" s="99"/>
      <c r="N144" s="99"/>
      <c r="O144" s="93">
        <f t="shared" si="21"/>
        <v>3666667</v>
      </c>
      <c r="P144" s="94">
        <f t="shared" si="19"/>
        <v>3666667</v>
      </c>
    </row>
    <row r="145" spans="1:16" ht="49.5" thickBot="1">
      <c r="A145" s="79" t="s">
        <v>235</v>
      </c>
      <c r="B145" s="79" t="s">
        <v>109</v>
      </c>
      <c r="C145" s="79" t="s">
        <v>100</v>
      </c>
      <c r="D145" s="70" t="s">
        <v>110</v>
      </c>
      <c r="E145" s="96">
        <f>F145</f>
        <v>302398</v>
      </c>
      <c r="F145" s="96">
        <v>302398</v>
      </c>
      <c r="G145" s="96"/>
      <c r="H145" s="96"/>
      <c r="I145" s="96"/>
      <c r="J145" s="96">
        <f t="shared" si="20"/>
        <v>0</v>
      </c>
      <c r="K145" s="96"/>
      <c r="L145" s="96"/>
      <c r="M145" s="96"/>
      <c r="N145" s="96"/>
      <c r="O145" s="96">
        <f t="shared" si="21"/>
        <v>0</v>
      </c>
      <c r="P145" s="95">
        <f t="shared" si="19"/>
        <v>302398</v>
      </c>
    </row>
    <row r="146" spans="1:16" s="15" customFormat="1" ht="96">
      <c r="A146" s="75" t="s">
        <v>236</v>
      </c>
      <c r="B146" s="75"/>
      <c r="C146" s="75"/>
      <c r="D146" s="54" t="s">
        <v>237</v>
      </c>
      <c r="E146" s="97">
        <f>E147</f>
        <v>1236347</v>
      </c>
      <c r="F146" s="97">
        <f aca="true" t="shared" si="30" ref="F146:N147">F147</f>
        <v>1236347</v>
      </c>
      <c r="G146" s="97">
        <f t="shared" si="30"/>
        <v>1158854</v>
      </c>
      <c r="H146" s="97">
        <f t="shared" si="30"/>
        <v>43393</v>
      </c>
      <c r="I146" s="97">
        <f t="shared" si="30"/>
        <v>0</v>
      </c>
      <c r="J146" s="97">
        <f t="shared" si="30"/>
        <v>0</v>
      </c>
      <c r="K146" s="97">
        <f t="shared" si="30"/>
        <v>0</v>
      </c>
      <c r="L146" s="97">
        <f t="shared" si="30"/>
        <v>0</v>
      </c>
      <c r="M146" s="97">
        <f t="shared" si="30"/>
        <v>0</v>
      </c>
      <c r="N146" s="97">
        <f t="shared" si="30"/>
        <v>0</v>
      </c>
      <c r="O146" s="97">
        <f t="shared" si="21"/>
        <v>0</v>
      </c>
      <c r="P146" s="91">
        <f t="shared" si="19"/>
        <v>1236347</v>
      </c>
    </row>
    <row r="147" spans="1:16" s="15" customFormat="1" ht="96">
      <c r="A147" s="75" t="s">
        <v>238</v>
      </c>
      <c r="B147" s="75"/>
      <c r="C147" s="75"/>
      <c r="D147" s="74" t="s">
        <v>237</v>
      </c>
      <c r="E147" s="101">
        <f>E148</f>
        <v>1236347</v>
      </c>
      <c r="F147" s="101">
        <f t="shared" si="30"/>
        <v>1236347</v>
      </c>
      <c r="G147" s="101">
        <f t="shared" si="30"/>
        <v>1158854</v>
      </c>
      <c r="H147" s="101">
        <f t="shared" si="30"/>
        <v>43393</v>
      </c>
      <c r="I147" s="101">
        <f t="shared" si="30"/>
        <v>0</v>
      </c>
      <c r="J147" s="101">
        <f t="shared" si="30"/>
        <v>0</v>
      </c>
      <c r="K147" s="101">
        <f t="shared" si="30"/>
        <v>0</v>
      </c>
      <c r="L147" s="101">
        <f t="shared" si="30"/>
        <v>0</v>
      </c>
      <c r="M147" s="101">
        <f t="shared" si="30"/>
        <v>0</v>
      </c>
      <c r="N147" s="101">
        <f t="shared" si="30"/>
        <v>0</v>
      </c>
      <c r="O147" s="101">
        <f t="shared" si="21"/>
        <v>0</v>
      </c>
      <c r="P147" s="92">
        <f t="shared" si="19"/>
        <v>1236347</v>
      </c>
    </row>
    <row r="148" spans="1:16" ht="123" thickBot="1">
      <c r="A148" s="79" t="s">
        <v>239</v>
      </c>
      <c r="B148" s="79" t="s">
        <v>130</v>
      </c>
      <c r="C148" s="79" t="s">
        <v>35</v>
      </c>
      <c r="D148" s="70" t="s">
        <v>240</v>
      </c>
      <c r="E148" s="96">
        <f>F148</f>
        <v>1236347</v>
      </c>
      <c r="F148" s="96">
        <f>1180715+55632</f>
        <v>1236347</v>
      </c>
      <c r="G148" s="96">
        <f>1103222+55632</f>
        <v>1158854</v>
      </c>
      <c r="H148" s="96">
        <v>43393</v>
      </c>
      <c r="I148" s="96"/>
      <c r="J148" s="96">
        <f t="shared" si="20"/>
        <v>0</v>
      </c>
      <c r="K148" s="96"/>
      <c r="L148" s="96"/>
      <c r="M148" s="96"/>
      <c r="N148" s="96"/>
      <c r="O148" s="96">
        <f t="shared" si="21"/>
        <v>0</v>
      </c>
      <c r="P148" s="95">
        <f t="shared" si="19"/>
        <v>1236347</v>
      </c>
    </row>
    <row r="149" spans="1:16" s="15" customFormat="1" ht="156" customHeight="1">
      <c r="A149" s="75" t="s">
        <v>241</v>
      </c>
      <c r="B149" s="75"/>
      <c r="C149" s="75"/>
      <c r="D149" s="73" t="s">
        <v>242</v>
      </c>
      <c r="E149" s="97">
        <f>E150</f>
        <v>3051427</v>
      </c>
      <c r="F149" s="97">
        <f aca="true" t="shared" si="31" ref="F149:N149">F150</f>
        <v>3051427</v>
      </c>
      <c r="G149" s="97">
        <f t="shared" si="31"/>
        <v>2626380</v>
      </c>
      <c r="H149" s="97">
        <f t="shared" si="31"/>
        <v>95037</v>
      </c>
      <c r="I149" s="97">
        <f t="shared" si="31"/>
        <v>0</v>
      </c>
      <c r="J149" s="97">
        <f t="shared" si="31"/>
        <v>123465</v>
      </c>
      <c r="K149" s="97">
        <f t="shared" si="31"/>
        <v>123465</v>
      </c>
      <c r="L149" s="97">
        <f t="shared" si="31"/>
        <v>0</v>
      </c>
      <c r="M149" s="97">
        <f t="shared" si="31"/>
        <v>0</v>
      </c>
      <c r="N149" s="97">
        <f t="shared" si="31"/>
        <v>0</v>
      </c>
      <c r="O149" s="97">
        <f t="shared" si="21"/>
        <v>123465</v>
      </c>
      <c r="P149" s="91">
        <f t="shared" si="19"/>
        <v>3174892</v>
      </c>
    </row>
    <row r="150" spans="1:16" s="15" customFormat="1" ht="159" customHeight="1">
      <c r="A150" s="75" t="s">
        <v>243</v>
      </c>
      <c r="B150" s="75"/>
      <c r="C150" s="75"/>
      <c r="D150" s="73" t="s">
        <v>242</v>
      </c>
      <c r="E150" s="101">
        <f>SUM(E151:E154)</f>
        <v>3051427</v>
      </c>
      <c r="F150" s="101">
        <f aca="true" t="shared" si="32" ref="F150:N150">SUM(F151:F154)</f>
        <v>3051427</v>
      </c>
      <c r="G150" s="101">
        <f t="shared" si="32"/>
        <v>2626380</v>
      </c>
      <c r="H150" s="101">
        <f t="shared" si="32"/>
        <v>95037</v>
      </c>
      <c r="I150" s="101">
        <f t="shared" si="32"/>
        <v>0</v>
      </c>
      <c r="J150" s="101">
        <f t="shared" si="32"/>
        <v>123465</v>
      </c>
      <c r="K150" s="101">
        <f t="shared" si="32"/>
        <v>123465</v>
      </c>
      <c r="L150" s="101">
        <f t="shared" si="32"/>
        <v>0</v>
      </c>
      <c r="M150" s="101">
        <f t="shared" si="32"/>
        <v>0</v>
      </c>
      <c r="N150" s="101">
        <f t="shared" si="32"/>
        <v>0</v>
      </c>
      <c r="O150" s="101">
        <f t="shared" si="21"/>
        <v>123465</v>
      </c>
      <c r="P150" s="92">
        <f t="shared" si="19"/>
        <v>3174892</v>
      </c>
    </row>
    <row r="151" spans="1:16" ht="123">
      <c r="A151" s="77" t="s">
        <v>244</v>
      </c>
      <c r="B151" s="77" t="s">
        <v>130</v>
      </c>
      <c r="C151" s="77" t="s">
        <v>35</v>
      </c>
      <c r="D151" s="57" t="s">
        <v>131</v>
      </c>
      <c r="E151" s="93">
        <f>F151</f>
        <v>2369710</v>
      </c>
      <c r="F151" s="93">
        <f>2272854+96856</f>
        <v>2369710</v>
      </c>
      <c r="G151" s="93">
        <f>2178886+96856</f>
        <v>2275742</v>
      </c>
      <c r="H151" s="93">
        <v>60163</v>
      </c>
      <c r="I151" s="93"/>
      <c r="J151" s="93">
        <f t="shared" si="20"/>
        <v>0</v>
      </c>
      <c r="K151" s="93"/>
      <c r="L151" s="93"/>
      <c r="M151" s="93"/>
      <c r="N151" s="93"/>
      <c r="O151" s="93">
        <f t="shared" si="21"/>
        <v>0</v>
      </c>
      <c r="P151" s="94">
        <f t="shared" si="19"/>
        <v>2369710</v>
      </c>
    </row>
    <row r="152" spans="1:16" ht="48.75">
      <c r="A152" s="80" t="s">
        <v>245</v>
      </c>
      <c r="B152" s="80" t="s">
        <v>109</v>
      </c>
      <c r="C152" s="80" t="s">
        <v>100</v>
      </c>
      <c r="D152" s="69" t="s">
        <v>246</v>
      </c>
      <c r="E152" s="93">
        <f>F152</f>
        <v>385512</v>
      </c>
      <c r="F152" s="93">
        <v>385512</v>
      </c>
      <c r="G152" s="93">
        <v>350638</v>
      </c>
      <c r="H152" s="93">
        <v>34874</v>
      </c>
      <c r="I152" s="93"/>
      <c r="J152" s="93">
        <f t="shared" si="20"/>
        <v>39000</v>
      </c>
      <c r="K152" s="93">
        <f>39000</f>
        <v>39000</v>
      </c>
      <c r="L152" s="93"/>
      <c r="M152" s="93"/>
      <c r="N152" s="93"/>
      <c r="O152" s="93">
        <f t="shared" si="21"/>
        <v>39000</v>
      </c>
      <c r="P152" s="94">
        <f t="shared" si="19"/>
        <v>424512</v>
      </c>
    </row>
    <row r="153" spans="1:16" ht="98.25">
      <c r="A153" s="80" t="s">
        <v>591</v>
      </c>
      <c r="B153" s="80" t="s">
        <v>592</v>
      </c>
      <c r="C153" s="80" t="s">
        <v>593</v>
      </c>
      <c r="D153" s="69" t="s">
        <v>594</v>
      </c>
      <c r="E153" s="99">
        <f>F153+I153</f>
        <v>96205</v>
      </c>
      <c r="F153" s="99">
        <f>58915+37290</f>
        <v>96205</v>
      </c>
      <c r="G153" s="99"/>
      <c r="H153" s="99"/>
      <c r="I153" s="99"/>
      <c r="J153" s="99">
        <f>L153+O153</f>
        <v>84465</v>
      </c>
      <c r="K153" s="99">
        <f>15300+69165</f>
        <v>84465</v>
      </c>
      <c r="L153" s="99"/>
      <c r="M153" s="99"/>
      <c r="N153" s="99"/>
      <c r="O153" s="99">
        <f>K153</f>
        <v>84465</v>
      </c>
      <c r="P153" s="94">
        <f t="shared" si="19"/>
        <v>180670</v>
      </c>
    </row>
    <row r="154" spans="1:16" ht="49.5" thickBot="1">
      <c r="A154" s="79" t="s">
        <v>247</v>
      </c>
      <c r="B154" s="79" t="s">
        <v>248</v>
      </c>
      <c r="C154" s="79" t="s">
        <v>113</v>
      </c>
      <c r="D154" s="70" t="s">
        <v>249</v>
      </c>
      <c r="E154" s="96">
        <v>200000</v>
      </c>
      <c r="F154" s="96">
        <v>200000</v>
      </c>
      <c r="G154" s="96"/>
      <c r="H154" s="96"/>
      <c r="I154" s="96"/>
      <c r="J154" s="96">
        <f t="shared" si="20"/>
        <v>0</v>
      </c>
      <c r="K154" s="96"/>
      <c r="L154" s="96"/>
      <c r="M154" s="96"/>
      <c r="N154" s="96"/>
      <c r="O154" s="96">
        <f t="shared" si="21"/>
        <v>0</v>
      </c>
      <c r="P154" s="95">
        <f t="shared" si="19"/>
        <v>200000</v>
      </c>
    </row>
    <row r="155" spans="1:16" s="15" customFormat="1" ht="139.5" customHeight="1">
      <c r="A155" s="75" t="s">
        <v>250</v>
      </c>
      <c r="B155" s="75"/>
      <c r="C155" s="75"/>
      <c r="D155" s="54" t="s">
        <v>251</v>
      </c>
      <c r="E155" s="97">
        <f>E156</f>
        <v>12106013</v>
      </c>
      <c r="F155" s="97">
        <f aca="true" t="shared" si="33" ref="F155:N155">F156</f>
        <v>12106013</v>
      </c>
      <c r="G155" s="97">
        <f t="shared" si="33"/>
        <v>6213086</v>
      </c>
      <c r="H155" s="97">
        <f t="shared" si="33"/>
        <v>871929</v>
      </c>
      <c r="I155" s="97">
        <f t="shared" si="33"/>
        <v>0</v>
      </c>
      <c r="J155" s="97">
        <f t="shared" si="33"/>
        <v>4939509</v>
      </c>
      <c r="K155" s="97">
        <f t="shared" si="33"/>
        <v>4852236</v>
      </c>
      <c r="L155" s="97">
        <f t="shared" si="33"/>
        <v>87273</v>
      </c>
      <c r="M155" s="97">
        <f t="shared" si="33"/>
        <v>0</v>
      </c>
      <c r="N155" s="97">
        <f t="shared" si="33"/>
        <v>0</v>
      </c>
      <c r="O155" s="97">
        <f t="shared" si="21"/>
        <v>4852236</v>
      </c>
      <c r="P155" s="91">
        <f t="shared" si="19"/>
        <v>17045522</v>
      </c>
    </row>
    <row r="156" spans="1:16" s="15" customFormat="1" ht="154.5" customHeight="1">
      <c r="A156" s="76" t="s">
        <v>252</v>
      </c>
      <c r="B156" s="76"/>
      <c r="C156" s="76"/>
      <c r="D156" s="54" t="s">
        <v>251</v>
      </c>
      <c r="E156" s="101">
        <f>SUM(E157:E168)</f>
        <v>12106013</v>
      </c>
      <c r="F156" s="101">
        <f aca="true" t="shared" si="34" ref="F156:N156">SUM(F157:F168)</f>
        <v>12106013</v>
      </c>
      <c r="G156" s="101">
        <f t="shared" si="34"/>
        <v>6213086</v>
      </c>
      <c r="H156" s="101">
        <f t="shared" si="34"/>
        <v>871929</v>
      </c>
      <c r="I156" s="101">
        <f t="shared" si="34"/>
        <v>0</v>
      </c>
      <c r="J156" s="101">
        <f t="shared" si="34"/>
        <v>4939509</v>
      </c>
      <c r="K156" s="101">
        <f t="shared" si="34"/>
        <v>4852236</v>
      </c>
      <c r="L156" s="101">
        <f t="shared" si="34"/>
        <v>87273</v>
      </c>
      <c r="M156" s="101">
        <f t="shared" si="34"/>
        <v>0</v>
      </c>
      <c r="N156" s="101">
        <f t="shared" si="34"/>
        <v>0</v>
      </c>
      <c r="O156" s="101">
        <f t="shared" si="21"/>
        <v>4852236</v>
      </c>
      <c r="P156" s="92">
        <f t="shared" si="19"/>
        <v>17045522</v>
      </c>
    </row>
    <row r="157" spans="1:16" ht="123">
      <c r="A157" s="77" t="s">
        <v>253</v>
      </c>
      <c r="B157" s="77" t="s">
        <v>130</v>
      </c>
      <c r="C157" s="77" t="s">
        <v>35</v>
      </c>
      <c r="D157" s="57" t="s">
        <v>131</v>
      </c>
      <c r="E157" s="93">
        <f>F157</f>
        <v>6826541</v>
      </c>
      <c r="F157" s="93">
        <f>5050013+8519-16922+225310+1559621</f>
        <v>6826541</v>
      </c>
      <c r="G157" s="93">
        <f>4582418+225310+1380720</f>
        <v>6188448</v>
      </c>
      <c r="H157" s="93">
        <f>168488-16922+79937</f>
        <v>231503</v>
      </c>
      <c r="I157" s="93"/>
      <c r="J157" s="93">
        <f t="shared" si="20"/>
        <v>87273</v>
      </c>
      <c r="K157" s="93"/>
      <c r="L157" s="93">
        <f>66273+21000</f>
        <v>87273</v>
      </c>
      <c r="M157" s="93"/>
      <c r="N157" s="93"/>
      <c r="O157" s="93">
        <f t="shared" si="21"/>
        <v>0</v>
      </c>
      <c r="P157" s="94">
        <f t="shared" si="19"/>
        <v>6913814</v>
      </c>
    </row>
    <row r="158" spans="1:16" ht="48.75">
      <c r="A158" s="77" t="s">
        <v>394</v>
      </c>
      <c r="B158" s="77" t="s">
        <v>367</v>
      </c>
      <c r="C158" s="77" t="s">
        <v>368</v>
      </c>
      <c r="D158" s="62" t="s">
        <v>369</v>
      </c>
      <c r="E158" s="93">
        <f>F158</f>
        <v>24638</v>
      </c>
      <c r="F158" s="93">
        <v>24638</v>
      </c>
      <c r="G158" s="93">
        <v>24638</v>
      </c>
      <c r="H158" s="93"/>
      <c r="I158" s="93"/>
      <c r="J158" s="93"/>
      <c r="K158" s="93"/>
      <c r="L158" s="93"/>
      <c r="M158" s="93"/>
      <c r="N158" s="93"/>
      <c r="O158" s="93"/>
      <c r="P158" s="94">
        <f t="shared" si="19"/>
        <v>24638</v>
      </c>
    </row>
    <row r="159" spans="1:16" ht="48.75">
      <c r="A159" s="77" t="s">
        <v>307</v>
      </c>
      <c r="B159" s="77" t="s">
        <v>80</v>
      </c>
      <c r="C159" s="77" t="s">
        <v>77</v>
      </c>
      <c r="D159" s="57" t="s">
        <v>81</v>
      </c>
      <c r="E159" s="93">
        <f>F159</f>
        <v>44480</v>
      </c>
      <c r="F159" s="93">
        <v>44480</v>
      </c>
      <c r="G159" s="93"/>
      <c r="H159" s="93"/>
      <c r="I159" s="93"/>
      <c r="J159" s="93">
        <f t="shared" si="20"/>
        <v>0</v>
      </c>
      <c r="K159" s="93"/>
      <c r="L159" s="93"/>
      <c r="M159" s="93"/>
      <c r="N159" s="93"/>
      <c r="O159" s="93">
        <f t="shared" si="21"/>
        <v>0</v>
      </c>
      <c r="P159" s="94">
        <f t="shared" si="19"/>
        <v>44480</v>
      </c>
    </row>
    <row r="160" spans="1:16" ht="98.25">
      <c r="A160" s="77" t="s">
        <v>254</v>
      </c>
      <c r="B160" s="77" t="s">
        <v>83</v>
      </c>
      <c r="C160" s="77" t="s">
        <v>77</v>
      </c>
      <c r="D160" s="57" t="s">
        <v>84</v>
      </c>
      <c r="E160" s="93">
        <f aca="true" t="shared" si="35" ref="E160:E168">F160</f>
        <v>55000</v>
      </c>
      <c r="F160" s="93">
        <v>55000</v>
      </c>
      <c r="G160" s="93"/>
      <c r="H160" s="93"/>
      <c r="I160" s="93"/>
      <c r="J160" s="93">
        <f t="shared" si="20"/>
        <v>0</v>
      </c>
      <c r="K160" s="93"/>
      <c r="L160" s="93"/>
      <c r="M160" s="93"/>
      <c r="N160" s="93"/>
      <c r="O160" s="93">
        <f t="shared" si="21"/>
        <v>0</v>
      </c>
      <c r="P160" s="94">
        <f t="shared" si="19"/>
        <v>55000</v>
      </c>
    </row>
    <row r="161" spans="1:16" ht="48.75">
      <c r="A161" s="77" t="s">
        <v>255</v>
      </c>
      <c r="B161" s="77" t="s">
        <v>89</v>
      </c>
      <c r="C161" s="77" t="s">
        <v>77</v>
      </c>
      <c r="D161" s="57" t="s">
        <v>90</v>
      </c>
      <c r="E161" s="93">
        <f t="shared" si="35"/>
        <v>2695529</v>
      </c>
      <c r="F161" s="93">
        <f>2039358+511184+144987</f>
        <v>2695529</v>
      </c>
      <c r="G161" s="93"/>
      <c r="H161" s="93">
        <f>587926+50526</f>
        <v>638452</v>
      </c>
      <c r="I161" s="93"/>
      <c r="J161" s="93">
        <f t="shared" si="20"/>
        <v>701311</v>
      </c>
      <c r="K161" s="93">
        <f>199980+108131+385200+8000</f>
        <v>701311</v>
      </c>
      <c r="L161" s="93"/>
      <c r="M161" s="93"/>
      <c r="N161" s="93"/>
      <c r="O161" s="93">
        <f t="shared" si="21"/>
        <v>701311</v>
      </c>
      <c r="P161" s="94">
        <f t="shared" si="19"/>
        <v>3396840</v>
      </c>
    </row>
    <row r="162" spans="1:16" ht="48.75">
      <c r="A162" s="77" t="s">
        <v>305</v>
      </c>
      <c r="B162" s="77" t="s">
        <v>306</v>
      </c>
      <c r="C162" s="77" t="s">
        <v>77</v>
      </c>
      <c r="D162" s="57" t="s">
        <v>308</v>
      </c>
      <c r="E162" s="93">
        <f t="shared" si="35"/>
        <v>498792</v>
      </c>
      <c r="F162" s="93">
        <f>199000+299792</f>
        <v>498792</v>
      </c>
      <c r="G162" s="93"/>
      <c r="H162" s="93"/>
      <c r="I162" s="93"/>
      <c r="J162" s="93">
        <f t="shared" si="20"/>
        <v>0</v>
      </c>
      <c r="K162" s="93"/>
      <c r="L162" s="93"/>
      <c r="M162" s="93"/>
      <c r="N162" s="93"/>
      <c r="O162" s="93">
        <f t="shared" si="21"/>
        <v>0</v>
      </c>
      <c r="P162" s="94">
        <f t="shared" si="19"/>
        <v>498792</v>
      </c>
    </row>
    <row r="163" spans="1:16" ht="48.75">
      <c r="A163" s="77" t="s">
        <v>256</v>
      </c>
      <c r="B163" s="77" t="s">
        <v>96</v>
      </c>
      <c r="C163" s="77" t="s">
        <v>97</v>
      </c>
      <c r="D163" s="57" t="s">
        <v>98</v>
      </c>
      <c r="E163" s="93">
        <f t="shared" si="35"/>
        <v>122576</v>
      </c>
      <c r="F163" s="93">
        <v>122576</v>
      </c>
      <c r="G163" s="93"/>
      <c r="H163" s="93"/>
      <c r="I163" s="93"/>
      <c r="J163" s="93">
        <f t="shared" si="20"/>
        <v>0</v>
      </c>
      <c r="K163" s="93"/>
      <c r="L163" s="93"/>
      <c r="M163" s="93"/>
      <c r="N163" s="93"/>
      <c r="O163" s="93">
        <f t="shared" si="21"/>
        <v>0</v>
      </c>
      <c r="P163" s="94">
        <f t="shared" si="19"/>
        <v>122576</v>
      </c>
    </row>
    <row r="164" spans="1:16" ht="73.5">
      <c r="A164" s="77" t="s">
        <v>302</v>
      </c>
      <c r="B164" s="77" t="s">
        <v>303</v>
      </c>
      <c r="C164" s="77" t="s">
        <v>99</v>
      </c>
      <c r="D164" s="57" t="s">
        <v>304</v>
      </c>
      <c r="E164" s="93">
        <f t="shared" si="35"/>
        <v>0</v>
      </c>
      <c r="F164" s="93"/>
      <c r="G164" s="93"/>
      <c r="H164" s="93"/>
      <c r="I164" s="93"/>
      <c r="J164" s="93">
        <f t="shared" si="20"/>
        <v>325486</v>
      </c>
      <c r="K164" s="93">
        <f>575278+50000-299792</f>
        <v>325486</v>
      </c>
      <c r="L164" s="93"/>
      <c r="M164" s="93"/>
      <c r="N164" s="93"/>
      <c r="O164" s="93">
        <f t="shared" si="21"/>
        <v>325486</v>
      </c>
      <c r="P164" s="94">
        <f t="shared" si="19"/>
        <v>325486</v>
      </c>
    </row>
    <row r="165" spans="1:16" ht="48.75">
      <c r="A165" s="77" t="s">
        <v>257</v>
      </c>
      <c r="B165" s="77" t="s">
        <v>258</v>
      </c>
      <c r="C165" s="77" t="s">
        <v>99</v>
      </c>
      <c r="D165" s="57" t="s">
        <v>259</v>
      </c>
      <c r="E165" s="93">
        <f t="shared" si="35"/>
        <v>0</v>
      </c>
      <c r="F165" s="93"/>
      <c r="G165" s="93"/>
      <c r="H165" s="93"/>
      <c r="I165" s="93"/>
      <c r="J165" s="93">
        <f t="shared" si="20"/>
        <v>2542137</v>
      </c>
      <c r="K165" s="93">
        <f>667868+424269+1450000</f>
        <v>2542137</v>
      </c>
      <c r="L165" s="93"/>
      <c r="M165" s="93"/>
      <c r="N165" s="93"/>
      <c r="O165" s="93">
        <f t="shared" si="21"/>
        <v>2542137</v>
      </c>
      <c r="P165" s="94">
        <f t="shared" si="19"/>
        <v>2542137</v>
      </c>
    </row>
    <row r="166" spans="1:16" ht="98.25">
      <c r="A166" s="77" t="s">
        <v>260</v>
      </c>
      <c r="B166" s="77" t="s">
        <v>261</v>
      </c>
      <c r="C166" s="77" t="s">
        <v>99</v>
      </c>
      <c r="D166" s="57" t="s">
        <v>262</v>
      </c>
      <c r="E166" s="93">
        <f t="shared" si="35"/>
        <v>0</v>
      </c>
      <c r="F166" s="93"/>
      <c r="G166" s="93"/>
      <c r="H166" s="93"/>
      <c r="I166" s="93"/>
      <c r="J166" s="93">
        <f t="shared" si="20"/>
        <v>93500</v>
      </c>
      <c r="K166" s="93">
        <v>93500</v>
      </c>
      <c r="L166" s="93"/>
      <c r="M166" s="93"/>
      <c r="N166" s="93"/>
      <c r="O166" s="93">
        <f t="shared" si="21"/>
        <v>93500</v>
      </c>
      <c r="P166" s="94">
        <f t="shared" si="19"/>
        <v>93500</v>
      </c>
    </row>
    <row r="167" spans="1:16" ht="123">
      <c r="A167" s="77" t="s">
        <v>263</v>
      </c>
      <c r="B167" s="77" t="s">
        <v>102</v>
      </c>
      <c r="C167" s="77" t="s">
        <v>103</v>
      </c>
      <c r="D167" s="57" t="s">
        <v>104</v>
      </c>
      <c r="E167" s="93">
        <f t="shared" si="35"/>
        <v>1834483</v>
      </c>
      <c r="F167" s="93">
        <f>1609406+225077</f>
        <v>1834483</v>
      </c>
      <c r="G167" s="93"/>
      <c r="H167" s="93"/>
      <c r="I167" s="93"/>
      <c r="J167" s="93">
        <f t="shared" si="20"/>
        <v>1189802</v>
      </c>
      <c r="K167" s="93">
        <f>1189802</f>
        <v>1189802</v>
      </c>
      <c r="L167" s="93"/>
      <c r="M167" s="93"/>
      <c r="N167" s="93"/>
      <c r="O167" s="93">
        <f t="shared" si="21"/>
        <v>1189802</v>
      </c>
      <c r="P167" s="94">
        <f t="shared" si="19"/>
        <v>3024285</v>
      </c>
    </row>
    <row r="168" spans="1:16" ht="49.5" thickBot="1">
      <c r="A168" s="79" t="s">
        <v>264</v>
      </c>
      <c r="B168" s="79" t="s">
        <v>109</v>
      </c>
      <c r="C168" s="79" t="s">
        <v>100</v>
      </c>
      <c r="D168" s="70" t="s">
        <v>110</v>
      </c>
      <c r="E168" s="96">
        <f t="shared" si="35"/>
        <v>3974</v>
      </c>
      <c r="F168" s="96">
        <v>3974</v>
      </c>
      <c r="G168" s="96"/>
      <c r="H168" s="96">
        <v>1974</v>
      </c>
      <c r="I168" s="96"/>
      <c r="J168" s="96">
        <f t="shared" si="20"/>
        <v>0</v>
      </c>
      <c r="K168" s="96"/>
      <c r="L168" s="96"/>
      <c r="M168" s="96"/>
      <c r="N168" s="96"/>
      <c r="O168" s="96">
        <f t="shared" si="21"/>
        <v>0</v>
      </c>
      <c r="P168" s="95">
        <f t="shared" si="19"/>
        <v>3974</v>
      </c>
    </row>
    <row r="169" spans="1:16" s="15" customFormat="1" ht="78" customHeight="1">
      <c r="A169" s="75" t="s">
        <v>265</v>
      </c>
      <c r="B169" s="75"/>
      <c r="C169" s="75"/>
      <c r="D169" s="73" t="s">
        <v>266</v>
      </c>
      <c r="E169" s="97">
        <f>E170</f>
        <v>1905089</v>
      </c>
      <c r="F169" s="97">
        <f aca="true" t="shared" si="36" ref="F169:N170">F170</f>
        <v>1905089</v>
      </c>
      <c r="G169" s="97">
        <f t="shared" si="36"/>
        <v>1682351</v>
      </c>
      <c r="H169" s="97">
        <f t="shared" si="36"/>
        <v>68238</v>
      </c>
      <c r="I169" s="97">
        <f t="shared" si="36"/>
        <v>0</v>
      </c>
      <c r="J169" s="97">
        <f t="shared" si="36"/>
        <v>0</v>
      </c>
      <c r="K169" s="97">
        <f t="shared" si="36"/>
        <v>0</v>
      </c>
      <c r="L169" s="97">
        <f t="shared" si="36"/>
        <v>0</v>
      </c>
      <c r="M169" s="97">
        <f t="shared" si="36"/>
        <v>0</v>
      </c>
      <c r="N169" s="97">
        <f t="shared" si="36"/>
        <v>0</v>
      </c>
      <c r="O169" s="97">
        <f t="shared" si="21"/>
        <v>0</v>
      </c>
      <c r="P169" s="91">
        <f t="shared" si="19"/>
        <v>1905089</v>
      </c>
    </row>
    <row r="170" spans="1:16" s="15" customFormat="1" ht="74.25" customHeight="1">
      <c r="A170" s="75" t="s">
        <v>267</v>
      </c>
      <c r="B170" s="75"/>
      <c r="C170" s="75"/>
      <c r="D170" s="73" t="s">
        <v>266</v>
      </c>
      <c r="E170" s="101">
        <f>E171</f>
        <v>1905089</v>
      </c>
      <c r="F170" s="101">
        <f t="shared" si="36"/>
        <v>1905089</v>
      </c>
      <c r="G170" s="101">
        <f t="shared" si="36"/>
        <v>1682351</v>
      </c>
      <c r="H170" s="101">
        <f t="shared" si="36"/>
        <v>68238</v>
      </c>
      <c r="I170" s="101">
        <f t="shared" si="36"/>
        <v>0</v>
      </c>
      <c r="J170" s="101">
        <f t="shared" si="36"/>
        <v>0</v>
      </c>
      <c r="K170" s="101">
        <f t="shared" si="36"/>
        <v>0</v>
      </c>
      <c r="L170" s="101">
        <f t="shared" si="36"/>
        <v>0</v>
      </c>
      <c r="M170" s="101">
        <f t="shared" si="36"/>
        <v>0</v>
      </c>
      <c r="N170" s="101">
        <f t="shared" si="36"/>
        <v>0</v>
      </c>
      <c r="O170" s="101">
        <f t="shared" si="21"/>
        <v>0</v>
      </c>
      <c r="P170" s="92">
        <f t="shared" si="19"/>
        <v>1905089</v>
      </c>
    </row>
    <row r="171" spans="1:16" ht="123" customHeight="1" thickBot="1">
      <c r="A171" s="79" t="s">
        <v>268</v>
      </c>
      <c r="B171" s="79" t="s">
        <v>130</v>
      </c>
      <c r="C171" s="79" t="s">
        <v>35</v>
      </c>
      <c r="D171" s="70" t="s">
        <v>131</v>
      </c>
      <c r="E171" s="96">
        <f>F171</f>
        <v>1905089</v>
      </c>
      <c r="F171" s="96">
        <f>1760259+77830+67000</f>
        <v>1905089</v>
      </c>
      <c r="G171" s="96">
        <f>1604521+77830</f>
        <v>1682351</v>
      </c>
      <c r="H171" s="96">
        <v>68238</v>
      </c>
      <c r="I171" s="96"/>
      <c r="J171" s="96">
        <f t="shared" si="20"/>
        <v>0</v>
      </c>
      <c r="K171" s="96"/>
      <c r="L171" s="96"/>
      <c r="M171" s="96"/>
      <c r="N171" s="96"/>
      <c r="O171" s="96">
        <f t="shared" si="21"/>
        <v>0</v>
      </c>
      <c r="P171" s="95">
        <f t="shared" si="19"/>
        <v>1905089</v>
      </c>
    </row>
    <row r="172" spans="1:16" s="15" customFormat="1" ht="72">
      <c r="A172" s="75" t="s">
        <v>269</v>
      </c>
      <c r="B172" s="75"/>
      <c r="C172" s="75"/>
      <c r="D172" s="73" t="s">
        <v>270</v>
      </c>
      <c r="E172" s="97">
        <f aca="true" t="shared" si="37" ref="E172:N172">E173</f>
        <v>6056149</v>
      </c>
      <c r="F172" s="97">
        <f t="shared" si="37"/>
        <v>4331819</v>
      </c>
      <c r="G172" s="97">
        <f t="shared" si="37"/>
        <v>3124416</v>
      </c>
      <c r="H172" s="97">
        <f t="shared" si="37"/>
        <v>94184</v>
      </c>
      <c r="I172" s="97">
        <f t="shared" si="37"/>
        <v>405000</v>
      </c>
      <c r="J172" s="97">
        <f t="shared" si="37"/>
        <v>0</v>
      </c>
      <c r="K172" s="97">
        <f t="shared" si="37"/>
        <v>0</v>
      </c>
      <c r="L172" s="97">
        <f t="shared" si="37"/>
        <v>0</v>
      </c>
      <c r="M172" s="97">
        <f t="shared" si="37"/>
        <v>0</v>
      </c>
      <c r="N172" s="97">
        <f t="shared" si="37"/>
        <v>0</v>
      </c>
      <c r="O172" s="97">
        <f t="shared" si="21"/>
        <v>0</v>
      </c>
      <c r="P172" s="91">
        <f t="shared" si="19"/>
        <v>6056149</v>
      </c>
    </row>
    <row r="173" spans="1:16" s="15" customFormat="1" ht="72">
      <c r="A173" s="75" t="s">
        <v>271</v>
      </c>
      <c r="B173" s="75"/>
      <c r="C173" s="75"/>
      <c r="D173" s="73" t="s">
        <v>270</v>
      </c>
      <c r="E173" s="101">
        <f>E174+E175+E176+E179</f>
        <v>6056149</v>
      </c>
      <c r="F173" s="101">
        <f>F174+F175+F176+F179</f>
        <v>4331819</v>
      </c>
      <c r="G173" s="101">
        <f>G174+G175+G176+G179</f>
        <v>3124416</v>
      </c>
      <c r="H173" s="101">
        <f>H174+H175+H176+H179</f>
        <v>94184</v>
      </c>
      <c r="I173" s="101">
        <f>I174+I175+I176+I179</f>
        <v>405000</v>
      </c>
      <c r="J173" s="101">
        <f>J174+J175</f>
        <v>0</v>
      </c>
      <c r="K173" s="101">
        <f>K174+K175</f>
        <v>0</v>
      </c>
      <c r="L173" s="101">
        <f>L174+L175</f>
        <v>0</v>
      </c>
      <c r="M173" s="101">
        <f>M174+M175</f>
        <v>0</v>
      </c>
      <c r="N173" s="101">
        <f>N174+N175</f>
        <v>0</v>
      </c>
      <c r="O173" s="101">
        <f t="shared" si="21"/>
        <v>0</v>
      </c>
      <c r="P173" s="92">
        <f t="shared" si="19"/>
        <v>6056149</v>
      </c>
    </row>
    <row r="174" spans="1:16" ht="123">
      <c r="A174" s="80" t="s">
        <v>272</v>
      </c>
      <c r="B174" s="80" t="s">
        <v>130</v>
      </c>
      <c r="C174" s="80" t="s">
        <v>35</v>
      </c>
      <c r="D174" s="69" t="s">
        <v>131</v>
      </c>
      <c r="E174" s="93">
        <f>F174</f>
        <v>3356621</v>
      </c>
      <c r="F174" s="93">
        <f>3159793+50000+137207+476620-46999-100000-50000-270000</f>
        <v>3356621</v>
      </c>
      <c r="G174" s="93">
        <f>50000+2937209+137207</f>
        <v>3124416</v>
      </c>
      <c r="H174" s="93">
        <v>94184</v>
      </c>
      <c r="I174" s="93"/>
      <c r="J174" s="93">
        <f t="shared" si="20"/>
        <v>0</v>
      </c>
      <c r="K174" s="93"/>
      <c r="L174" s="93"/>
      <c r="M174" s="93"/>
      <c r="N174" s="93"/>
      <c r="O174" s="93">
        <f t="shared" si="21"/>
        <v>0</v>
      </c>
      <c r="P174" s="94">
        <f t="shared" si="19"/>
        <v>3356621</v>
      </c>
    </row>
    <row r="175" spans="1:16" ht="24">
      <c r="A175" s="77" t="s">
        <v>273</v>
      </c>
      <c r="B175" s="77" t="s">
        <v>274</v>
      </c>
      <c r="C175" s="77" t="s">
        <v>42</v>
      </c>
      <c r="D175" s="57" t="s">
        <v>275</v>
      </c>
      <c r="E175" s="93">
        <f>500000+1000000-74215-106455</f>
        <v>1319330</v>
      </c>
      <c r="F175" s="93"/>
      <c r="G175" s="93"/>
      <c r="H175" s="93"/>
      <c r="I175" s="93"/>
      <c r="J175" s="93">
        <f t="shared" si="20"/>
        <v>0</v>
      </c>
      <c r="K175" s="93"/>
      <c r="L175" s="93"/>
      <c r="M175" s="93"/>
      <c r="N175" s="93"/>
      <c r="O175" s="93">
        <f t="shared" si="21"/>
        <v>0</v>
      </c>
      <c r="P175" s="94">
        <f t="shared" si="19"/>
        <v>1319330</v>
      </c>
    </row>
    <row r="176" spans="1:16" ht="48.75">
      <c r="A176" s="77" t="s">
        <v>353</v>
      </c>
      <c r="B176" s="77" t="s">
        <v>354</v>
      </c>
      <c r="C176" s="77" t="s">
        <v>41</v>
      </c>
      <c r="D176" s="57" t="s">
        <v>335</v>
      </c>
      <c r="E176" s="107">
        <f>E178</f>
        <v>202048</v>
      </c>
      <c r="F176" s="107">
        <f>F178</f>
        <v>202048</v>
      </c>
      <c r="G176" s="108">
        <f>G178</f>
        <v>0</v>
      </c>
      <c r="H176" s="108">
        <f>H178</f>
        <v>0</v>
      </c>
      <c r="I176" s="108">
        <f>I178</f>
        <v>0</v>
      </c>
      <c r="J176" s="93"/>
      <c r="K176" s="93"/>
      <c r="L176" s="93"/>
      <c r="M176" s="93"/>
      <c r="N176" s="93"/>
      <c r="O176" s="93"/>
      <c r="P176" s="94">
        <f t="shared" si="19"/>
        <v>202048</v>
      </c>
    </row>
    <row r="177" spans="1:16" ht="24">
      <c r="A177" s="77"/>
      <c r="B177" s="77"/>
      <c r="C177" s="77"/>
      <c r="D177" s="57" t="s">
        <v>355</v>
      </c>
      <c r="E177" s="108"/>
      <c r="F177" s="108"/>
      <c r="G177" s="108"/>
      <c r="H177" s="108"/>
      <c r="I177" s="108"/>
      <c r="J177" s="93"/>
      <c r="K177" s="93"/>
      <c r="L177" s="93"/>
      <c r="M177" s="93"/>
      <c r="N177" s="93"/>
      <c r="O177" s="93"/>
      <c r="P177" s="94">
        <f aca="true" t="shared" si="38" ref="P177:P188">E177+J177</f>
        <v>0</v>
      </c>
    </row>
    <row r="178" spans="1:16" ht="123">
      <c r="A178" s="77"/>
      <c r="B178" s="77"/>
      <c r="C178" s="77"/>
      <c r="D178" s="57" t="s">
        <v>356</v>
      </c>
      <c r="E178" s="107">
        <f>F178+H178</f>
        <v>202048</v>
      </c>
      <c r="F178" s="107">
        <v>202048</v>
      </c>
      <c r="G178" s="108"/>
      <c r="H178" s="108"/>
      <c r="I178" s="108"/>
      <c r="J178" s="93"/>
      <c r="K178" s="93"/>
      <c r="L178" s="93"/>
      <c r="M178" s="93"/>
      <c r="N178" s="93"/>
      <c r="O178" s="93"/>
      <c r="P178" s="94">
        <f t="shared" si="38"/>
        <v>202048</v>
      </c>
    </row>
    <row r="179" spans="1:16" ht="151.5" customHeight="1">
      <c r="A179" s="77" t="s">
        <v>357</v>
      </c>
      <c r="B179" s="77" t="s">
        <v>358</v>
      </c>
      <c r="C179" s="77" t="s">
        <v>41</v>
      </c>
      <c r="D179" s="57" t="s">
        <v>359</v>
      </c>
      <c r="E179" s="93">
        <f>SUM(E181:E188)</f>
        <v>1178150</v>
      </c>
      <c r="F179" s="93">
        <f>SUM(F181:F188)</f>
        <v>773150</v>
      </c>
      <c r="G179" s="93">
        <f>SUM(G181:G188)</f>
        <v>0</v>
      </c>
      <c r="H179" s="93">
        <f>SUM(H181:H188)</f>
        <v>0</v>
      </c>
      <c r="I179" s="93">
        <f>SUM(I181:I188)</f>
        <v>405000</v>
      </c>
      <c r="J179" s="93"/>
      <c r="K179" s="93"/>
      <c r="L179" s="93"/>
      <c r="M179" s="93"/>
      <c r="N179" s="93"/>
      <c r="O179" s="93"/>
      <c r="P179" s="94">
        <f t="shared" si="38"/>
        <v>1178150</v>
      </c>
    </row>
    <row r="180" spans="1:16" ht="24">
      <c r="A180" s="77"/>
      <c r="B180" s="77"/>
      <c r="C180" s="77"/>
      <c r="D180" s="57" t="s">
        <v>355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4">
        <f t="shared" si="38"/>
        <v>0</v>
      </c>
    </row>
    <row r="181" spans="1:16" ht="147">
      <c r="A181" s="77"/>
      <c r="B181" s="77"/>
      <c r="C181" s="77"/>
      <c r="D181" s="57" t="s">
        <v>360</v>
      </c>
      <c r="E181" s="93">
        <f aca="true" t="shared" si="39" ref="E181:E187">F181+I181</f>
        <v>300000</v>
      </c>
      <c r="F181" s="93"/>
      <c r="G181" s="93"/>
      <c r="H181" s="93"/>
      <c r="I181" s="93">
        <v>300000</v>
      </c>
      <c r="J181" s="93"/>
      <c r="K181" s="93"/>
      <c r="L181" s="93"/>
      <c r="M181" s="93"/>
      <c r="N181" s="93"/>
      <c r="O181" s="93"/>
      <c r="P181" s="94">
        <f t="shared" si="38"/>
        <v>300000</v>
      </c>
    </row>
    <row r="182" spans="1:16" ht="123">
      <c r="A182" s="77"/>
      <c r="B182" s="77"/>
      <c r="C182" s="77"/>
      <c r="D182" s="56" t="s">
        <v>361</v>
      </c>
      <c r="E182" s="93">
        <f t="shared" si="39"/>
        <v>250000</v>
      </c>
      <c r="F182" s="93">
        <f>120000+20000+50000</f>
        <v>190000</v>
      </c>
      <c r="G182" s="93"/>
      <c r="H182" s="93"/>
      <c r="I182" s="93">
        <v>60000</v>
      </c>
      <c r="J182" s="93"/>
      <c r="K182" s="93"/>
      <c r="L182" s="93"/>
      <c r="M182" s="93"/>
      <c r="N182" s="93"/>
      <c r="O182" s="93"/>
      <c r="P182" s="94">
        <f t="shared" si="38"/>
        <v>250000</v>
      </c>
    </row>
    <row r="183" spans="1:16" ht="294.75">
      <c r="A183" s="77"/>
      <c r="B183" s="77"/>
      <c r="C183" s="77"/>
      <c r="D183" s="56" t="s">
        <v>362</v>
      </c>
      <c r="E183" s="93">
        <f t="shared" si="39"/>
        <v>150000</v>
      </c>
      <c r="F183" s="93">
        <v>150000</v>
      </c>
      <c r="G183" s="93"/>
      <c r="H183" s="93"/>
      <c r="I183" s="93"/>
      <c r="J183" s="93"/>
      <c r="K183" s="93"/>
      <c r="L183" s="93"/>
      <c r="M183" s="93"/>
      <c r="N183" s="93"/>
      <c r="O183" s="93"/>
      <c r="P183" s="94">
        <f t="shared" si="38"/>
        <v>150000</v>
      </c>
    </row>
    <row r="184" spans="1:16" ht="125.25" customHeight="1">
      <c r="A184" s="77"/>
      <c r="B184" s="77"/>
      <c r="C184" s="77"/>
      <c r="D184" s="56" t="s">
        <v>363</v>
      </c>
      <c r="E184" s="93">
        <f t="shared" si="39"/>
        <v>100000</v>
      </c>
      <c r="F184" s="93">
        <v>100000</v>
      </c>
      <c r="G184" s="93"/>
      <c r="H184" s="93"/>
      <c r="I184" s="93"/>
      <c r="J184" s="93"/>
      <c r="K184" s="93"/>
      <c r="L184" s="93"/>
      <c r="M184" s="93"/>
      <c r="N184" s="93"/>
      <c r="O184" s="93"/>
      <c r="P184" s="94">
        <f t="shared" si="38"/>
        <v>100000</v>
      </c>
    </row>
    <row r="185" spans="1:16" ht="175.5" customHeight="1">
      <c r="A185" s="77"/>
      <c r="B185" s="77"/>
      <c r="C185" s="77"/>
      <c r="D185" s="57" t="s">
        <v>364</v>
      </c>
      <c r="E185" s="93">
        <f t="shared" si="39"/>
        <v>69650</v>
      </c>
      <c r="F185" s="93">
        <v>69650</v>
      </c>
      <c r="G185" s="93"/>
      <c r="H185" s="93"/>
      <c r="I185" s="93"/>
      <c r="J185" s="93"/>
      <c r="K185" s="93"/>
      <c r="L185" s="93"/>
      <c r="M185" s="93"/>
      <c r="N185" s="93"/>
      <c r="O185" s="93"/>
      <c r="P185" s="94">
        <f t="shared" si="38"/>
        <v>69650</v>
      </c>
    </row>
    <row r="186" spans="1:16" ht="98.25">
      <c r="A186" s="77"/>
      <c r="B186" s="77"/>
      <c r="C186" s="77"/>
      <c r="D186" s="56" t="s">
        <v>365</v>
      </c>
      <c r="E186" s="93">
        <f t="shared" si="39"/>
        <v>48500</v>
      </c>
      <c r="F186" s="93">
        <v>48500</v>
      </c>
      <c r="G186" s="93"/>
      <c r="H186" s="93"/>
      <c r="I186" s="93"/>
      <c r="J186" s="93"/>
      <c r="K186" s="93"/>
      <c r="L186" s="93"/>
      <c r="M186" s="93"/>
      <c r="N186" s="93"/>
      <c r="O186" s="93"/>
      <c r="P186" s="94">
        <f t="shared" si="38"/>
        <v>48500</v>
      </c>
    </row>
    <row r="187" spans="1:16" ht="196.5">
      <c r="A187" s="76"/>
      <c r="B187" s="76"/>
      <c r="C187" s="76"/>
      <c r="D187" s="57" t="s">
        <v>398</v>
      </c>
      <c r="E187" s="112">
        <f t="shared" si="39"/>
        <v>60000</v>
      </c>
      <c r="F187" s="112">
        <v>15000</v>
      </c>
      <c r="G187" s="112"/>
      <c r="H187" s="112"/>
      <c r="I187" s="112">
        <f>30000+15000</f>
        <v>45000</v>
      </c>
      <c r="J187" s="93"/>
      <c r="K187" s="93"/>
      <c r="L187" s="93"/>
      <c r="M187" s="93"/>
      <c r="N187" s="93"/>
      <c r="O187" s="93"/>
      <c r="P187" s="94">
        <f t="shared" si="38"/>
        <v>60000</v>
      </c>
    </row>
    <row r="188" spans="1:16" ht="87.75" customHeight="1">
      <c r="A188" s="77"/>
      <c r="B188" s="77"/>
      <c r="C188" s="77"/>
      <c r="D188" s="57" t="s">
        <v>397</v>
      </c>
      <c r="E188" s="112">
        <f>F188</f>
        <v>200000</v>
      </c>
      <c r="F188" s="112">
        <v>200000</v>
      </c>
      <c r="G188" s="112"/>
      <c r="H188" s="112"/>
      <c r="I188" s="112"/>
      <c r="J188" s="93"/>
      <c r="K188" s="93"/>
      <c r="L188" s="93"/>
      <c r="M188" s="93"/>
      <c r="N188" s="93"/>
      <c r="O188" s="93"/>
      <c r="P188" s="94">
        <f t="shared" si="38"/>
        <v>200000</v>
      </c>
    </row>
    <row r="189" spans="1:16" ht="24">
      <c r="A189" s="89" t="s">
        <v>24</v>
      </c>
      <c r="B189" s="89" t="s">
        <v>24</v>
      </c>
      <c r="C189" s="89" t="s">
        <v>24</v>
      </c>
      <c r="D189" s="90" t="s">
        <v>23</v>
      </c>
      <c r="E189" s="101">
        <f aca="true" t="shared" si="40" ref="E189:O189">E17+E67+E93+E114+E126+E140+E146+E149+E155+E169+E172</f>
        <v>488886734</v>
      </c>
      <c r="F189" s="101">
        <f t="shared" si="40"/>
        <v>487162404</v>
      </c>
      <c r="G189" s="101">
        <f t="shared" si="40"/>
        <v>315556987</v>
      </c>
      <c r="H189" s="101">
        <f t="shared" si="40"/>
        <v>35807937</v>
      </c>
      <c r="I189" s="101">
        <f t="shared" si="40"/>
        <v>405000</v>
      </c>
      <c r="J189" s="101">
        <f t="shared" si="40"/>
        <v>56709511</v>
      </c>
      <c r="K189" s="101">
        <f t="shared" si="40"/>
        <v>46380542</v>
      </c>
      <c r="L189" s="101">
        <f t="shared" si="40"/>
        <v>10048969</v>
      </c>
      <c r="M189" s="101">
        <f t="shared" si="40"/>
        <v>2306953</v>
      </c>
      <c r="N189" s="101">
        <f t="shared" si="40"/>
        <v>73626</v>
      </c>
      <c r="O189" s="101">
        <f t="shared" si="40"/>
        <v>46660542</v>
      </c>
      <c r="P189" s="92">
        <f>E189+J189</f>
        <v>545596245</v>
      </c>
    </row>
    <row r="190" spans="1:16" ht="24">
      <c r="A190" s="47"/>
      <c r="B190" s="47"/>
      <c r="C190" s="47"/>
      <c r="D190" s="48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50"/>
    </row>
    <row r="191" spans="1:16" ht="24">
      <c r="A191" s="47"/>
      <c r="B191" s="47"/>
      <c r="C191" s="47"/>
      <c r="D191" s="48"/>
      <c r="E191" s="49"/>
      <c r="F191" s="111"/>
      <c r="G191" s="49"/>
      <c r="H191" s="49"/>
      <c r="I191" s="49"/>
      <c r="J191" s="49"/>
      <c r="K191" s="49"/>
      <c r="L191" s="49"/>
      <c r="M191" s="49"/>
      <c r="N191" s="49"/>
      <c r="O191" s="49"/>
      <c r="P191" s="50"/>
    </row>
    <row r="192" spans="4:16" ht="22.5">
      <c r="D192" s="17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</row>
    <row r="193" spans="1:16" ht="24">
      <c r="A193" s="217" t="s">
        <v>662</v>
      </c>
      <c r="B193" s="217"/>
      <c r="C193" s="217"/>
      <c r="D193" s="218"/>
      <c r="F193" s="218"/>
      <c r="G193" s="218"/>
      <c r="H193" s="218"/>
      <c r="I193" s="218"/>
      <c r="J193" s="217"/>
      <c r="K193" s="217"/>
      <c r="L193" s="217"/>
      <c r="M193" s="217" t="s">
        <v>663</v>
      </c>
      <c r="N193" s="17"/>
      <c r="O193" s="43"/>
      <c r="P193" s="43"/>
    </row>
    <row r="194" spans="3:16" ht="22.5" hidden="1">
      <c r="C194" s="253" t="s">
        <v>2</v>
      </c>
      <c r="D194" s="253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</row>
    <row r="195" spans="3:16" ht="22.5" hidden="1">
      <c r="C195" s="32" t="s">
        <v>3</v>
      </c>
      <c r="D195" s="14"/>
      <c r="E195" s="40">
        <f aca="true" t="shared" si="41" ref="E195:P195">E19+E23+E69+E95+E116+E128+E142+E148+E151+E157+E171+E174</f>
        <v>55230310</v>
      </c>
      <c r="F195" s="40"/>
      <c r="G195" s="40">
        <f t="shared" si="41"/>
        <v>50204841</v>
      </c>
      <c r="H195" s="40">
        <f t="shared" si="41"/>
        <v>1919901</v>
      </c>
      <c r="I195" s="40">
        <f t="shared" si="41"/>
        <v>0</v>
      </c>
      <c r="J195" s="40">
        <f t="shared" si="41"/>
        <v>354683</v>
      </c>
      <c r="K195" s="40">
        <f t="shared" si="41"/>
        <v>203410</v>
      </c>
      <c r="L195" s="40">
        <f t="shared" si="41"/>
        <v>151273</v>
      </c>
      <c r="M195" s="40">
        <f t="shared" si="41"/>
        <v>18300</v>
      </c>
      <c r="N195" s="40">
        <f t="shared" si="41"/>
        <v>12590</v>
      </c>
      <c r="O195" s="40">
        <f t="shared" si="41"/>
        <v>203410</v>
      </c>
      <c r="P195" s="40">
        <f t="shared" si="41"/>
        <v>55584993</v>
      </c>
    </row>
    <row r="196" spans="3:16" ht="22.5" hidden="1">
      <c r="C196" s="33">
        <v>1000</v>
      </c>
      <c r="D196" s="14"/>
      <c r="E196" s="40">
        <f>E70+E71+E82+E83+E84+E85+E88+E117</f>
        <v>287878802</v>
      </c>
      <c r="F196" s="40"/>
      <c r="G196" s="40">
        <f>G70+G71+G82+G83+G84+G85+G88+G117</f>
        <v>239096883</v>
      </c>
      <c r="H196" s="40">
        <f>H70+H71+H82+H83+H84+H85+H88+H117</f>
        <v>30259221</v>
      </c>
      <c r="I196" s="40">
        <f aca="true" t="shared" si="42" ref="I196:P196">I70+I71+I82+I83+I84+I85+I86+I117</f>
        <v>0</v>
      </c>
      <c r="J196" s="40">
        <f t="shared" si="42"/>
        <v>9841115</v>
      </c>
      <c r="K196" s="40">
        <f t="shared" si="42"/>
        <v>831437</v>
      </c>
      <c r="L196" s="40">
        <f t="shared" si="42"/>
        <v>9009678</v>
      </c>
      <c r="M196" s="40">
        <f t="shared" si="42"/>
        <v>2270353</v>
      </c>
      <c r="N196" s="40">
        <f t="shared" si="42"/>
        <v>41558</v>
      </c>
      <c r="O196" s="40">
        <f t="shared" si="42"/>
        <v>831437</v>
      </c>
      <c r="P196" s="40">
        <f t="shared" si="42"/>
        <v>298601981</v>
      </c>
    </row>
    <row r="197" spans="3:16" ht="22.5" hidden="1">
      <c r="C197" s="33">
        <v>2000</v>
      </c>
      <c r="D197" s="14"/>
      <c r="E197" s="40">
        <f aca="true" t="shared" si="43" ref="E197:P197">E25+E32+E34</f>
        <v>36753319</v>
      </c>
      <c r="F197" s="40"/>
      <c r="G197" s="40">
        <f t="shared" si="43"/>
        <v>0</v>
      </c>
      <c r="H197" s="40">
        <f t="shared" si="43"/>
        <v>0</v>
      </c>
      <c r="I197" s="40">
        <f t="shared" si="43"/>
        <v>0</v>
      </c>
      <c r="J197" s="40">
        <f t="shared" si="43"/>
        <v>5642400</v>
      </c>
      <c r="K197" s="40">
        <f t="shared" si="43"/>
        <v>5642400</v>
      </c>
      <c r="L197" s="40">
        <f t="shared" si="43"/>
        <v>0</v>
      </c>
      <c r="M197" s="40">
        <f t="shared" si="43"/>
        <v>0</v>
      </c>
      <c r="N197" s="40">
        <f t="shared" si="43"/>
        <v>0</v>
      </c>
      <c r="O197" s="40">
        <f t="shared" si="43"/>
        <v>5642400</v>
      </c>
      <c r="P197" s="40">
        <f t="shared" si="43"/>
        <v>42395719</v>
      </c>
    </row>
    <row r="198" spans="3:16" ht="22.5" hidden="1">
      <c r="C198" s="33">
        <v>3000</v>
      </c>
      <c r="D198" s="14"/>
      <c r="E198" s="40">
        <f aca="true" t="shared" si="44" ref="E198:P198">E40+E41+E43+E96+E97+E98+E99+E102+E103+E104+E105+E106+E107+E108+E109+E111+E129+E130</f>
        <v>13776429</v>
      </c>
      <c r="F198" s="40"/>
      <c r="G198" s="40">
        <f t="shared" si="44"/>
        <v>6226537</v>
      </c>
      <c r="H198" s="40">
        <f t="shared" si="44"/>
        <v>467444</v>
      </c>
      <c r="I198" s="40">
        <f t="shared" si="44"/>
        <v>0</v>
      </c>
      <c r="J198" s="40">
        <f t="shared" si="44"/>
        <v>59400</v>
      </c>
      <c r="K198" s="40">
        <f t="shared" si="44"/>
        <v>0</v>
      </c>
      <c r="L198" s="40">
        <f t="shared" si="44"/>
        <v>59400</v>
      </c>
      <c r="M198" s="40">
        <f t="shared" si="44"/>
        <v>0</v>
      </c>
      <c r="N198" s="40">
        <f t="shared" si="44"/>
        <v>6588</v>
      </c>
      <c r="O198" s="40">
        <f t="shared" si="44"/>
        <v>0</v>
      </c>
      <c r="P198" s="40">
        <f t="shared" si="44"/>
        <v>13835829</v>
      </c>
    </row>
    <row r="199" spans="3:16" ht="22.5" hidden="1">
      <c r="C199" s="33">
        <v>4000</v>
      </c>
      <c r="D199" s="14"/>
      <c r="E199" s="40">
        <f aca="true" t="shared" si="45" ref="E199:P199">E118+E119+E120+E121+E122</f>
        <v>17195105</v>
      </c>
      <c r="F199" s="40"/>
      <c r="G199" s="40">
        <f t="shared" si="45"/>
        <v>13286227</v>
      </c>
      <c r="H199" s="40">
        <f t="shared" si="45"/>
        <v>2076541</v>
      </c>
      <c r="I199" s="40">
        <f t="shared" si="45"/>
        <v>0</v>
      </c>
      <c r="J199" s="40">
        <f t="shared" si="45"/>
        <v>1098342</v>
      </c>
      <c r="K199" s="40">
        <f t="shared" si="45"/>
        <v>915682</v>
      </c>
      <c r="L199" s="40">
        <f t="shared" si="45"/>
        <v>182660</v>
      </c>
      <c r="M199" s="40">
        <f t="shared" si="45"/>
        <v>18300</v>
      </c>
      <c r="N199" s="40">
        <f t="shared" si="45"/>
        <v>12890</v>
      </c>
      <c r="O199" s="40">
        <f t="shared" si="45"/>
        <v>915682</v>
      </c>
      <c r="P199" s="40">
        <f t="shared" si="45"/>
        <v>18293447</v>
      </c>
    </row>
    <row r="200" spans="3:16" ht="22.5" hidden="1">
      <c r="C200" s="33">
        <v>5000</v>
      </c>
      <c r="D200" s="14"/>
      <c r="E200" s="40">
        <f aca="true" t="shared" si="46" ref="E200:P200">E90+E132+E133+E134+E135+E136</f>
        <v>11796344</v>
      </c>
      <c r="F200" s="40"/>
      <c r="G200" s="40">
        <f t="shared" si="46"/>
        <v>5462119</v>
      </c>
      <c r="H200" s="40">
        <f t="shared" si="46"/>
        <v>409530</v>
      </c>
      <c r="I200" s="40">
        <f t="shared" si="46"/>
        <v>0</v>
      </c>
      <c r="J200" s="40">
        <f t="shared" si="46"/>
        <v>10000</v>
      </c>
      <c r="K200" s="40">
        <f t="shared" si="46"/>
        <v>10000</v>
      </c>
      <c r="L200" s="40">
        <f t="shared" si="46"/>
        <v>0</v>
      </c>
      <c r="M200" s="40">
        <f t="shared" si="46"/>
        <v>0</v>
      </c>
      <c r="N200" s="40">
        <f t="shared" si="46"/>
        <v>0</v>
      </c>
      <c r="O200" s="40">
        <f t="shared" si="46"/>
        <v>10000</v>
      </c>
      <c r="P200" s="40">
        <f t="shared" si="46"/>
        <v>11806344</v>
      </c>
    </row>
    <row r="201" spans="3:16" ht="22.5" hidden="1">
      <c r="C201" s="33">
        <v>6000</v>
      </c>
      <c r="D201" s="14"/>
      <c r="E201" s="40">
        <f aca="true" t="shared" si="47" ref="E201:P201">E44+E46+E45+E47+E48+E49+E51+E159+E160+E161+E162</f>
        <v>39822211</v>
      </c>
      <c r="F201" s="40"/>
      <c r="G201" s="40">
        <f t="shared" si="47"/>
        <v>0</v>
      </c>
      <c r="H201" s="40">
        <f t="shared" si="47"/>
        <v>638452</v>
      </c>
      <c r="I201" s="40">
        <f t="shared" si="47"/>
        <v>0</v>
      </c>
      <c r="J201" s="40">
        <f t="shared" si="47"/>
        <v>701311</v>
      </c>
      <c r="K201" s="40">
        <f t="shared" si="47"/>
        <v>701311</v>
      </c>
      <c r="L201" s="40">
        <f t="shared" si="47"/>
        <v>0</v>
      </c>
      <c r="M201" s="40">
        <f t="shared" si="47"/>
        <v>0</v>
      </c>
      <c r="N201" s="40">
        <f t="shared" si="47"/>
        <v>0</v>
      </c>
      <c r="O201" s="40">
        <f t="shared" si="47"/>
        <v>701311</v>
      </c>
      <c r="P201" s="40">
        <f t="shared" si="47"/>
        <v>40523522</v>
      </c>
    </row>
    <row r="202" spans="3:16" ht="22.5" hidden="1">
      <c r="C202" s="33">
        <v>7000</v>
      </c>
      <c r="D202" s="14"/>
      <c r="E202" s="40">
        <f aca="true" t="shared" si="48" ref="E202:P202">E52+E56+E59+E60+E61+E62+E92+E113+E125+E139+E152+E163+E164+E165+E166+E167+E168+E145</f>
        <v>14749410</v>
      </c>
      <c r="F202" s="40"/>
      <c r="G202" s="40">
        <f t="shared" si="48"/>
        <v>350638</v>
      </c>
      <c r="H202" s="40">
        <f t="shared" si="48"/>
        <v>36848</v>
      </c>
      <c r="I202" s="40">
        <f t="shared" si="48"/>
        <v>0</v>
      </c>
      <c r="J202" s="40">
        <f t="shared" si="48"/>
        <v>16508778</v>
      </c>
      <c r="K202" s="40">
        <f t="shared" si="48"/>
        <v>16508778</v>
      </c>
      <c r="L202" s="40">
        <f t="shared" si="48"/>
        <v>0</v>
      </c>
      <c r="M202" s="40">
        <f t="shared" si="48"/>
        <v>0</v>
      </c>
      <c r="N202" s="40">
        <f t="shared" si="48"/>
        <v>0</v>
      </c>
      <c r="O202" s="40">
        <f t="shared" si="48"/>
        <v>16508778</v>
      </c>
      <c r="P202" s="40">
        <f t="shared" si="48"/>
        <v>31258188</v>
      </c>
    </row>
    <row r="203" spans="3:16" ht="22.5" hidden="1">
      <c r="C203" s="33">
        <v>8000</v>
      </c>
      <c r="D203" s="14"/>
      <c r="E203" s="40">
        <f aca="true" t="shared" si="49" ref="E203:P203">E63+E64+E65+E66+E154+E175</f>
        <v>5950738</v>
      </c>
      <c r="F203" s="40"/>
      <c r="G203" s="40">
        <f t="shared" si="49"/>
        <v>0</v>
      </c>
      <c r="H203" s="40">
        <f t="shared" si="49"/>
        <v>0</v>
      </c>
      <c r="I203" s="40">
        <f t="shared" si="49"/>
        <v>0</v>
      </c>
      <c r="J203" s="40">
        <f t="shared" si="49"/>
        <v>925958</v>
      </c>
      <c r="K203" s="40">
        <f t="shared" si="49"/>
        <v>0</v>
      </c>
      <c r="L203" s="40">
        <f t="shared" si="49"/>
        <v>645958</v>
      </c>
      <c r="M203" s="40">
        <f t="shared" si="49"/>
        <v>0</v>
      </c>
      <c r="N203" s="40">
        <f t="shared" si="49"/>
        <v>0</v>
      </c>
      <c r="O203" s="40">
        <f t="shared" si="49"/>
        <v>280000</v>
      </c>
      <c r="P203" s="40">
        <f t="shared" si="49"/>
        <v>6876696</v>
      </c>
    </row>
    <row r="204" spans="3:16" ht="21" hidden="1">
      <c r="C204" s="33">
        <v>9000</v>
      </c>
      <c r="D204" s="14" t="s">
        <v>1</v>
      </c>
      <c r="E204" s="41">
        <v>11080290</v>
      </c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>
        <v>11080290</v>
      </c>
    </row>
    <row r="205" spans="3:16" ht="22.5" hidden="1">
      <c r="C205" s="14" t="s">
        <v>17</v>
      </c>
      <c r="D205" s="14"/>
      <c r="E205" s="40">
        <f>SUM(E194:E204)</f>
        <v>494232958</v>
      </c>
      <c r="F205" s="40"/>
      <c r="G205" s="40">
        <f aca="true" t="shared" si="50" ref="G205:P205">SUM(G194:G204)</f>
        <v>314627245</v>
      </c>
      <c r="H205" s="40">
        <f t="shared" si="50"/>
        <v>35807937</v>
      </c>
      <c r="I205" s="40">
        <f t="shared" si="50"/>
        <v>0</v>
      </c>
      <c r="J205" s="40">
        <f t="shared" si="50"/>
        <v>35141987</v>
      </c>
      <c r="K205" s="40">
        <f t="shared" si="50"/>
        <v>24813018</v>
      </c>
      <c r="L205" s="40">
        <f t="shared" si="50"/>
        <v>10048969</v>
      </c>
      <c r="M205" s="40">
        <f t="shared" si="50"/>
        <v>2306953</v>
      </c>
      <c r="N205" s="40">
        <f t="shared" si="50"/>
        <v>73626</v>
      </c>
      <c r="O205" s="40">
        <f t="shared" si="50"/>
        <v>25093018</v>
      </c>
      <c r="P205" s="40">
        <f t="shared" si="50"/>
        <v>530257009</v>
      </c>
    </row>
    <row r="206" ht="22.5" hidden="1"/>
    <row r="207" spans="5:16" ht="22.5" hidden="1">
      <c r="E207" s="10" t="e">
        <f>E189-E205-#REF!</f>
        <v>#REF!</v>
      </c>
      <c r="G207" s="10" t="e">
        <f>G189-G205-#REF!</f>
        <v>#REF!</v>
      </c>
      <c r="H207" s="10" t="e">
        <f>H189-H205-#REF!</f>
        <v>#REF!</v>
      </c>
      <c r="I207" s="10" t="e">
        <f>I189-I205-#REF!</f>
        <v>#REF!</v>
      </c>
      <c r="J207" s="10" t="e">
        <f>J189-J205-#REF!</f>
        <v>#REF!</v>
      </c>
      <c r="K207" s="10" t="e">
        <f>K189-K205-#REF!</f>
        <v>#REF!</v>
      </c>
      <c r="L207" s="10" t="e">
        <f>L189-L205-#REF!</f>
        <v>#REF!</v>
      </c>
      <c r="M207" s="10" t="e">
        <f>M189-M205-#REF!</f>
        <v>#REF!</v>
      </c>
      <c r="N207" s="10" t="e">
        <f>N189-N205-#REF!</f>
        <v>#REF!</v>
      </c>
      <c r="O207" s="10" t="e">
        <f>O189-O205-#REF!</f>
        <v>#REF!</v>
      </c>
      <c r="P207" s="10" t="e">
        <f>P189-P205-#REF!</f>
        <v>#REF!</v>
      </c>
    </row>
    <row r="208" ht="22.5" hidden="1"/>
    <row r="209" ht="22.5" hidden="1"/>
    <row r="210" ht="22.5" hidden="1"/>
  </sheetData>
  <sheetProtection/>
  <mergeCells count="19">
    <mergeCell ref="C194:D194"/>
    <mergeCell ref="D12:D15"/>
    <mergeCell ref="A8:P8"/>
    <mergeCell ref="K14:K15"/>
    <mergeCell ref="L14:L15"/>
    <mergeCell ref="O14:O15"/>
    <mergeCell ref="J12:O13"/>
    <mergeCell ref="C12:C15"/>
    <mergeCell ref="F14:F15"/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F1">
      <selection activeCell="K10" sqref="K10"/>
    </sheetView>
  </sheetViews>
  <sheetFormatPr defaultColWidth="9.00390625" defaultRowHeight="12.75"/>
  <cols>
    <col min="1" max="1" width="15.50390625" style="0" customWidth="1"/>
    <col min="2" max="2" width="12.50390625" style="0" customWidth="1"/>
    <col min="3" max="3" width="14.375" style="0" customWidth="1"/>
    <col min="4" max="4" width="39.00390625" style="0" customWidth="1"/>
    <col min="5" max="5" width="74.125" style="0" customWidth="1"/>
    <col min="6" max="6" width="16.50390625" style="0" customWidth="1"/>
    <col min="7" max="7" width="14.125" style="0" customWidth="1"/>
    <col min="8" max="8" width="12.00390625" style="0" customWidth="1"/>
    <col min="9" max="9" width="15.125" style="0" customWidth="1"/>
    <col min="10" max="10" width="13.625" style="0" customWidth="1"/>
  </cols>
  <sheetData>
    <row r="1" spans="8:10" ht="18">
      <c r="H1" s="30" t="s">
        <v>595</v>
      </c>
      <c r="I1" s="30"/>
      <c r="J1" s="30"/>
    </row>
    <row r="2" spans="8:10" ht="18">
      <c r="H2" s="46" t="s">
        <v>664</v>
      </c>
      <c r="I2" s="46"/>
      <c r="J2" s="30"/>
    </row>
    <row r="3" spans="8:10" ht="18">
      <c r="H3" s="30" t="s">
        <v>661</v>
      </c>
      <c r="I3" s="30"/>
      <c r="J3" s="30"/>
    </row>
    <row r="4" spans="8:10" ht="18">
      <c r="H4" s="30" t="s">
        <v>665</v>
      </c>
      <c r="I4" s="30"/>
      <c r="J4" s="30"/>
    </row>
    <row r="6" spans="1:10" ht="12.75">
      <c r="A6" s="260" t="s">
        <v>596</v>
      </c>
      <c r="B6" s="260"/>
      <c r="C6" s="260"/>
      <c r="D6" s="260"/>
      <c r="E6" s="260"/>
      <c r="F6" s="260"/>
      <c r="G6" s="260"/>
      <c r="H6" s="260"/>
      <c r="I6" s="260"/>
      <c r="J6" s="260"/>
    </row>
    <row r="7" spans="1:10" ht="36.75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</row>
    <row r="8" spans="1:10" ht="15.75" customHeight="1">
      <c r="A8" s="208" t="s">
        <v>0</v>
      </c>
      <c r="B8" s="175"/>
      <c r="C8" s="175"/>
      <c r="D8" s="175"/>
      <c r="E8" s="175"/>
      <c r="F8" s="175"/>
      <c r="G8" s="175"/>
      <c r="H8" s="175"/>
      <c r="I8" s="175"/>
      <c r="J8" s="175"/>
    </row>
    <row r="9" spans="1:10" ht="15.75" customHeight="1">
      <c r="A9" s="207" t="s">
        <v>25</v>
      </c>
      <c r="B9" s="175"/>
      <c r="C9" s="175"/>
      <c r="D9" s="175"/>
      <c r="E9" s="175"/>
      <c r="F9" s="175"/>
      <c r="G9" s="175"/>
      <c r="H9" s="175"/>
      <c r="I9" s="175"/>
      <c r="J9" s="175"/>
    </row>
    <row r="10" spans="1:10" ht="15" customHeight="1">
      <c r="A10" s="207"/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255" t="s">
        <v>27</v>
      </c>
      <c r="B11" s="255" t="s">
        <v>28</v>
      </c>
      <c r="C11" s="255" t="s">
        <v>16</v>
      </c>
      <c r="D11" s="255" t="s">
        <v>597</v>
      </c>
      <c r="E11" s="255" t="s">
        <v>598</v>
      </c>
      <c r="F11" s="255" t="s">
        <v>599</v>
      </c>
      <c r="G11" s="255" t="s">
        <v>600</v>
      </c>
      <c r="H11" s="255" t="s">
        <v>601</v>
      </c>
      <c r="I11" s="255" t="s">
        <v>602</v>
      </c>
      <c r="J11" s="255" t="s">
        <v>603</v>
      </c>
    </row>
    <row r="12" spans="1:10" ht="27.75" customHeight="1">
      <c r="A12" s="255"/>
      <c r="B12" s="255"/>
      <c r="C12" s="255"/>
      <c r="D12" s="255"/>
      <c r="E12" s="255"/>
      <c r="F12" s="255"/>
      <c r="G12" s="255"/>
      <c r="H12" s="255"/>
      <c r="I12" s="255"/>
      <c r="J12" s="255"/>
    </row>
    <row r="13" spans="1:10" ht="27.75" customHeight="1">
      <c r="A13" s="255"/>
      <c r="B13" s="255"/>
      <c r="C13" s="255"/>
      <c r="D13" s="255"/>
      <c r="E13" s="255"/>
      <c r="F13" s="255"/>
      <c r="G13" s="255"/>
      <c r="H13" s="255"/>
      <c r="I13" s="255"/>
      <c r="J13" s="255"/>
    </row>
    <row r="14" spans="1:10" ht="27.75" customHeight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</row>
    <row r="15" spans="1:10" ht="10.5" customHeight="1">
      <c r="A15" s="255"/>
      <c r="B15" s="255"/>
      <c r="C15" s="255"/>
      <c r="D15" s="255"/>
      <c r="E15" s="255"/>
      <c r="F15" s="255"/>
      <c r="G15" s="255"/>
      <c r="H15" s="255"/>
      <c r="I15" s="255"/>
      <c r="J15" s="255"/>
    </row>
    <row r="16" spans="1:10" ht="13.5">
      <c r="A16" s="176">
        <v>1</v>
      </c>
      <c r="B16" s="176">
        <v>2</v>
      </c>
      <c r="C16" s="176">
        <v>3</v>
      </c>
      <c r="D16" s="176">
        <v>4</v>
      </c>
      <c r="E16" s="176">
        <v>5</v>
      </c>
      <c r="F16" s="176">
        <v>6</v>
      </c>
      <c r="G16" s="176">
        <v>7</v>
      </c>
      <c r="H16" s="176">
        <v>8</v>
      </c>
      <c r="I16" s="176">
        <v>9</v>
      </c>
      <c r="J16" s="176">
        <v>10</v>
      </c>
    </row>
    <row r="17" spans="1:10" ht="45.75" customHeight="1">
      <c r="A17" s="177" t="s">
        <v>30</v>
      </c>
      <c r="B17" s="177"/>
      <c r="C17" s="177"/>
      <c r="D17" s="178" t="s">
        <v>31</v>
      </c>
      <c r="E17" s="179"/>
      <c r="F17" s="179"/>
      <c r="G17" s="179"/>
      <c r="H17" s="179"/>
      <c r="I17" s="180">
        <f>I18</f>
        <v>2240139</v>
      </c>
      <c r="J17" s="179"/>
    </row>
    <row r="18" spans="1:10" ht="45" customHeight="1">
      <c r="A18" s="177" t="s">
        <v>32</v>
      </c>
      <c r="B18" s="177"/>
      <c r="C18" s="177"/>
      <c r="D18" s="178" t="s">
        <v>31</v>
      </c>
      <c r="E18" s="179"/>
      <c r="F18" s="179"/>
      <c r="G18" s="179"/>
      <c r="H18" s="179"/>
      <c r="I18" s="180">
        <f>SUM(I19:I27)</f>
        <v>2240139</v>
      </c>
      <c r="J18" s="179"/>
    </row>
    <row r="19" spans="1:10" ht="49.5" customHeight="1">
      <c r="A19" s="181" t="s">
        <v>383</v>
      </c>
      <c r="B19" s="181" t="s">
        <v>384</v>
      </c>
      <c r="C19" s="172" t="s">
        <v>99</v>
      </c>
      <c r="D19" s="173" t="s">
        <v>385</v>
      </c>
      <c r="E19" s="182" t="s">
        <v>604</v>
      </c>
      <c r="F19" s="179">
        <v>2020</v>
      </c>
      <c r="G19" s="179">
        <v>200000</v>
      </c>
      <c r="H19" s="179"/>
      <c r="I19" s="179">
        <v>200000</v>
      </c>
      <c r="J19" s="183">
        <v>100</v>
      </c>
    </row>
    <row r="20" spans="1:10" ht="56.25" customHeight="1">
      <c r="A20" s="261" t="s">
        <v>337</v>
      </c>
      <c r="B20" s="261" t="s">
        <v>258</v>
      </c>
      <c r="C20" s="261" t="s">
        <v>99</v>
      </c>
      <c r="D20" s="264" t="s">
        <v>605</v>
      </c>
      <c r="E20" s="182" t="s">
        <v>606</v>
      </c>
      <c r="F20" s="185">
        <v>2020</v>
      </c>
      <c r="G20" s="186">
        <v>57727</v>
      </c>
      <c r="H20" s="179"/>
      <c r="I20" s="179">
        <v>57727</v>
      </c>
      <c r="J20" s="183">
        <v>100</v>
      </c>
    </row>
    <row r="21" spans="1:10" ht="24" customHeight="1">
      <c r="A21" s="267"/>
      <c r="B21" s="267"/>
      <c r="C21" s="267"/>
      <c r="D21" s="269"/>
      <c r="E21" s="182" t="s">
        <v>607</v>
      </c>
      <c r="F21" s="185">
        <v>2020</v>
      </c>
      <c r="G21" s="186">
        <v>53021</v>
      </c>
      <c r="H21" s="179"/>
      <c r="I21" s="179">
        <v>53021</v>
      </c>
      <c r="J21" s="183">
        <v>100</v>
      </c>
    </row>
    <row r="22" spans="1:10" ht="53.25" customHeight="1">
      <c r="A22" s="267"/>
      <c r="B22" s="267"/>
      <c r="C22" s="267"/>
      <c r="D22" s="269"/>
      <c r="E22" s="182" t="s">
        <v>608</v>
      </c>
      <c r="F22" s="185">
        <v>2020</v>
      </c>
      <c r="G22" s="186">
        <f>60000+26000</f>
        <v>86000</v>
      </c>
      <c r="H22" s="179"/>
      <c r="I22" s="179">
        <f>60000+26000</f>
        <v>86000</v>
      </c>
      <c r="J22" s="183">
        <v>100</v>
      </c>
    </row>
    <row r="23" spans="1:10" ht="37.5" customHeight="1">
      <c r="A23" s="267"/>
      <c r="B23" s="267"/>
      <c r="C23" s="267"/>
      <c r="D23" s="269"/>
      <c r="E23" s="182" t="s">
        <v>609</v>
      </c>
      <c r="F23" s="185">
        <v>2020</v>
      </c>
      <c r="G23" s="186">
        <v>300000</v>
      </c>
      <c r="H23" s="179"/>
      <c r="I23" s="179">
        <v>300000</v>
      </c>
      <c r="J23" s="183">
        <v>100</v>
      </c>
    </row>
    <row r="24" spans="1:10" ht="36.75" customHeight="1">
      <c r="A24" s="263"/>
      <c r="B24" s="268"/>
      <c r="C24" s="263"/>
      <c r="D24" s="266"/>
      <c r="E24" s="187" t="s">
        <v>610</v>
      </c>
      <c r="F24" s="185" t="s">
        <v>611</v>
      </c>
      <c r="G24" s="186">
        <v>1343074</v>
      </c>
      <c r="H24" s="179">
        <v>73.4</v>
      </c>
      <c r="I24" s="179">
        <v>236684</v>
      </c>
      <c r="J24" s="183">
        <v>91</v>
      </c>
    </row>
    <row r="25" spans="1:10" ht="72" customHeight="1" hidden="1">
      <c r="A25" s="256" t="s">
        <v>315</v>
      </c>
      <c r="B25" s="256" t="s">
        <v>313</v>
      </c>
      <c r="C25" s="256" t="s">
        <v>100</v>
      </c>
      <c r="D25" s="258" t="s">
        <v>314</v>
      </c>
      <c r="E25" s="182" t="s">
        <v>612</v>
      </c>
      <c r="F25" s="179">
        <v>2020</v>
      </c>
      <c r="G25" s="188">
        <v>12247008</v>
      </c>
      <c r="H25" s="179"/>
      <c r="I25" s="179">
        <f>1204337-1204337</f>
        <v>0</v>
      </c>
      <c r="J25" s="183">
        <v>9.8</v>
      </c>
    </row>
    <row r="26" spans="1:10" ht="74.25" customHeight="1" hidden="1">
      <c r="A26" s="256"/>
      <c r="B26" s="256"/>
      <c r="C26" s="256"/>
      <c r="D26" s="258"/>
      <c r="E26" s="182" t="s">
        <v>613</v>
      </c>
      <c r="F26" s="179" t="s">
        <v>614</v>
      </c>
      <c r="G26" s="179">
        <v>6228838</v>
      </c>
      <c r="H26" s="179">
        <v>1.1</v>
      </c>
      <c r="I26" s="179">
        <f>200000-200000</f>
        <v>0</v>
      </c>
      <c r="J26" s="183">
        <v>4.3</v>
      </c>
    </row>
    <row r="27" spans="1:11" ht="90.75" customHeight="1">
      <c r="A27" s="257"/>
      <c r="B27" s="257"/>
      <c r="C27" s="257"/>
      <c r="D27" s="259"/>
      <c r="E27" s="187" t="s">
        <v>615</v>
      </c>
      <c r="F27" s="185" t="s">
        <v>616</v>
      </c>
      <c r="G27" s="189">
        <v>20691542</v>
      </c>
      <c r="H27" s="190">
        <v>6.7</v>
      </c>
      <c r="I27" s="186">
        <v>1306707</v>
      </c>
      <c r="J27" s="183">
        <v>13</v>
      </c>
      <c r="K27" s="191"/>
    </row>
    <row r="28" spans="1:10" ht="65.25" customHeight="1">
      <c r="A28" s="177" t="s">
        <v>126</v>
      </c>
      <c r="B28" s="177"/>
      <c r="C28" s="177"/>
      <c r="D28" s="178" t="s">
        <v>127</v>
      </c>
      <c r="E28" s="179"/>
      <c r="F28" s="179"/>
      <c r="G28" s="179"/>
      <c r="H28" s="179"/>
      <c r="I28" s="180">
        <f>I29</f>
        <v>46683</v>
      </c>
      <c r="J28" s="179"/>
    </row>
    <row r="29" spans="1:10" ht="80.25" customHeight="1">
      <c r="A29" s="177" t="s">
        <v>128</v>
      </c>
      <c r="B29" s="177"/>
      <c r="C29" s="177"/>
      <c r="D29" s="178" t="s">
        <v>127</v>
      </c>
      <c r="E29" s="179"/>
      <c r="F29" s="179"/>
      <c r="G29" s="179"/>
      <c r="H29" s="179"/>
      <c r="I29" s="180">
        <f>SUM(I30:I31)</f>
        <v>46683</v>
      </c>
      <c r="J29" s="179"/>
    </row>
    <row r="30" spans="1:10" ht="61.5" customHeight="1">
      <c r="A30" s="181" t="s">
        <v>344</v>
      </c>
      <c r="B30" s="181" t="s">
        <v>345</v>
      </c>
      <c r="C30" s="181" t="s">
        <v>99</v>
      </c>
      <c r="D30" s="184" t="s">
        <v>346</v>
      </c>
      <c r="E30" s="182" t="s">
        <v>617</v>
      </c>
      <c r="F30" s="179">
        <v>2020</v>
      </c>
      <c r="G30" s="179">
        <v>46683</v>
      </c>
      <c r="H30" s="179"/>
      <c r="I30" s="179">
        <v>46683</v>
      </c>
      <c r="J30" s="183">
        <v>100</v>
      </c>
    </row>
    <row r="31" spans="1:10" ht="79.5" customHeight="1" hidden="1">
      <c r="A31" s="172" t="s">
        <v>312</v>
      </c>
      <c r="B31" s="172" t="s">
        <v>313</v>
      </c>
      <c r="C31" s="172" t="s">
        <v>100</v>
      </c>
      <c r="D31" s="173" t="s">
        <v>314</v>
      </c>
      <c r="E31" s="182" t="s">
        <v>618</v>
      </c>
      <c r="F31" s="179" t="s">
        <v>616</v>
      </c>
      <c r="G31" s="179">
        <v>6093630</v>
      </c>
      <c r="H31" s="179">
        <v>1.9</v>
      </c>
      <c r="I31" s="179">
        <f>597771-597771</f>
        <v>0</v>
      </c>
      <c r="J31" s="183">
        <v>11.7</v>
      </c>
    </row>
    <row r="32" spans="1:10" ht="102.75" customHeight="1">
      <c r="A32" s="177" t="s">
        <v>163</v>
      </c>
      <c r="B32" s="177"/>
      <c r="C32" s="177"/>
      <c r="D32" s="178" t="s">
        <v>164</v>
      </c>
      <c r="E32" s="182"/>
      <c r="F32" s="179"/>
      <c r="G32" s="179"/>
      <c r="H32" s="179"/>
      <c r="I32" s="180">
        <f>I33</f>
        <v>51460</v>
      </c>
      <c r="J32" s="183"/>
    </row>
    <row r="33" spans="1:10" ht="101.25" customHeight="1">
      <c r="A33" s="177" t="s">
        <v>165</v>
      </c>
      <c r="B33" s="177"/>
      <c r="C33" s="177"/>
      <c r="D33" s="178" t="s">
        <v>164</v>
      </c>
      <c r="E33" s="182"/>
      <c r="F33" s="179"/>
      <c r="G33" s="179"/>
      <c r="H33" s="179"/>
      <c r="I33" s="180">
        <f>SUM(I34:I35)</f>
        <v>51460</v>
      </c>
      <c r="J33" s="183"/>
    </row>
    <row r="34" spans="1:10" ht="60" customHeight="1">
      <c r="A34" s="261" t="s">
        <v>389</v>
      </c>
      <c r="B34" s="261" t="s">
        <v>258</v>
      </c>
      <c r="C34" s="261" t="s">
        <v>99</v>
      </c>
      <c r="D34" s="264" t="s">
        <v>338</v>
      </c>
      <c r="E34" s="182" t="s">
        <v>619</v>
      </c>
      <c r="F34" s="179">
        <v>2020</v>
      </c>
      <c r="G34" s="179">
        <v>27208</v>
      </c>
      <c r="H34" s="179"/>
      <c r="I34" s="179">
        <v>27208</v>
      </c>
      <c r="J34" s="183">
        <v>100</v>
      </c>
    </row>
    <row r="35" spans="1:10" ht="57.75" customHeight="1">
      <c r="A35" s="263"/>
      <c r="B35" s="263"/>
      <c r="C35" s="263"/>
      <c r="D35" s="266"/>
      <c r="E35" s="182" t="s">
        <v>620</v>
      </c>
      <c r="F35" s="179">
        <v>2020</v>
      </c>
      <c r="G35" s="179">
        <v>24252</v>
      </c>
      <c r="H35" s="179"/>
      <c r="I35" s="179">
        <v>24252</v>
      </c>
      <c r="J35" s="183">
        <v>100</v>
      </c>
    </row>
    <row r="36" spans="1:10" ht="71.25" customHeight="1">
      <c r="A36" s="192" t="s">
        <v>179</v>
      </c>
      <c r="B36" s="192"/>
      <c r="C36" s="192"/>
      <c r="D36" s="193" t="s">
        <v>180</v>
      </c>
      <c r="E36" s="182"/>
      <c r="F36" s="179"/>
      <c r="G36" s="179"/>
      <c r="H36" s="179"/>
      <c r="I36" s="180">
        <f>I37</f>
        <v>800000</v>
      </c>
      <c r="J36" s="183"/>
    </row>
    <row r="37" spans="1:10" ht="71.25" customHeight="1">
      <c r="A37" s="192" t="s">
        <v>181</v>
      </c>
      <c r="B37" s="192"/>
      <c r="C37" s="192"/>
      <c r="D37" s="193" t="s">
        <v>180</v>
      </c>
      <c r="E37" s="182"/>
      <c r="F37" s="179"/>
      <c r="G37" s="179"/>
      <c r="H37" s="179"/>
      <c r="I37" s="180">
        <f>SUM(I38:I39)</f>
        <v>800000</v>
      </c>
      <c r="J37" s="183"/>
    </row>
    <row r="38" spans="1:10" ht="76.5" customHeight="1">
      <c r="A38" s="172" t="s">
        <v>370</v>
      </c>
      <c r="B38" s="172" t="s">
        <v>371</v>
      </c>
      <c r="C38" s="194" t="s">
        <v>99</v>
      </c>
      <c r="D38" s="173" t="s">
        <v>372</v>
      </c>
      <c r="E38" s="182" t="s">
        <v>621</v>
      </c>
      <c r="F38" s="179">
        <v>2020</v>
      </c>
      <c r="G38" s="179">
        <v>600000</v>
      </c>
      <c r="H38" s="179"/>
      <c r="I38" s="179">
        <v>600000</v>
      </c>
      <c r="J38" s="183">
        <v>100</v>
      </c>
    </row>
    <row r="39" spans="1:10" ht="72" customHeight="1">
      <c r="A39" s="181" t="s">
        <v>373</v>
      </c>
      <c r="B39" s="181" t="s">
        <v>374</v>
      </c>
      <c r="C39" s="195" t="s">
        <v>99</v>
      </c>
      <c r="D39" s="184" t="s">
        <v>375</v>
      </c>
      <c r="E39" s="182" t="s">
        <v>622</v>
      </c>
      <c r="F39" s="179">
        <v>2020</v>
      </c>
      <c r="G39" s="179">
        <v>200000</v>
      </c>
      <c r="H39" s="179"/>
      <c r="I39" s="179">
        <v>200000</v>
      </c>
      <c r="J39" s="183">
        <v>100</v>
      </c>
    </row>
    <row r="40" spans="1:10" ht="86.25" customHeight="1">
      <c r="A40" s="177" t="s">
        <v>231</v>
      </c>
      <c r="B40" s="177"/>
      <c r="C40" s="177"/>
      <c r="D40" s="196" t="s">
        <v>232</v>
      </c>
      <c r="E40" s="182"/>
      <c r="F40" s="179"/>
      <c r="G40" s="179"/>
      <c r="H40" s="179"/>
      <c r="I40" s="180">
        <f>I41</f>
        <v>3689527</v>
      </c>
      <c r="J40" s="183"/>
    </row>
    <row r="41" spans="1:10" ht="92.25" customHeight="1">
      <c r="A41" s="177" t="s">
        <v>233</v>
      </c>
      <c r="B41" s="177"/>
      <c r="C41" s="177"/>
      <c r="D41" s="196" t="s">
        <v>232</v>
      </c>
      <c r="E41" s="182"/>
      <c r="F41" s="179"/>
      <c r="G41" s="179"/>
      <c r="H41" s="179"/>
      <c r="I41" s="180">
        <f>SUM(I42:I43)</f>
        <v>3689527</v>
      </c>
      <c r="J41" s="183"/>
    </row>
    <row r="42" spans="1:10" ht="102" customHeight="1">
      <c r="A42" s="181" t="s">
        <v>393</v>
      </c>
      <c r="B42" s="181" t="s">
        <v>348</v>
      </c>
      <c r="C42" s="181" t="s">
        <v>99</v>
      </c>
      <c r="D42" s="184" t="s">
        <v>349</v>
      </c>
      <c r="E42" s="182" t="s">
        <v>623</v>
      </c>
      <c r="F42" s="179" t="s">
        <v>624</v>
      </c>
      <c r="G42" s="179">
        <v>2866645</v>
      </c>
      <c r="H42" s="179">
        <v>99.2</v>
      </c>
      <c r="I42" s="179">
        <v>22860</v>
      </c>
      <c r="J42" s="183">
        <v>100</v>
      </c>
    </row>
    <row r="43" spans="1:10" ht="95.25" customHeight="1">
      <c r="A43" s="181" t="s">
        <v>392</v>
      </c>
      <c r="B43" s="181" t="s">
        <v>313</v>
      </c>
      <c r="C43" s="181" t="s">
        <v>100</v>
      </c>
      <c r="D43" s="184" t="s">
        <v>314</v>
      </c>
      <c r="E43" s="182" t="s">
        <v>625</v>
      </c>
      <c r="F43" s="179" t="s">
        <v>626</v>
      </c>
      <c r="G43" s="179">
        <v>434764188</v>
      </c>
      <c r="H43" s="179"/>
      <c r="I43" s="179">
        <f>6666667-2000000-1000000</f>
        <v>3666667</v>
      </c>
      <c r="J43" s="183">
        <f>I43/G43*100</f>
        <v>0.8433691415264405</v>
      </c>
    </row>
    <row r="44" spans="1:10" ht="96.75" customHeight="1">
      <c r="A44" s="177" t="s">
        <v>250</v>
      </c>
      <c r="B44" s="172"/>
      <c r="C44" s="172"/>
      <c r="D44" s="178" t="s">
        <v>251</v>
      </c>
      <c r="E44" s="197"/>
      <c r="F44" s="198"/>
      <c r="G44" s="198"/>
      <c r="H44" s="198"/>
      <c r="I44" s="180">
        <f>I45</f>
        <v>1417623</v>
      </c>
      <c r="J44" s="198"/>
    </row>
    <row r="45" spans="1:10" ht="96" customHeight="1">
      <c r="A45" s="177" t="s">
        <v>252</v>
      </c>
      <c r="B45" s="172"/>
      <c r="C45" s="172"/>
      <c r="D45" s="178" t="s">
        <v>251</v>
      </c>
      <c r="E45" s="197"/>
      <c r="F45" s="198"/>
      <c r="G45" s="198"/>
      <c r="H45" s="198"/>
      <c r="I45" s="180">
        <f>SUM(I46:I61)</f>
        <v>1417623</v>
      </c>
      <c r="J45" s="198"/>
    </row>
    <row r="46" spans="1:10" ht="51.75" customHeight="1">
      <c r="A46" s="261" t="s">
        <v>302</v>
      </c>
      <c r="B46" s="261" t="s">
        <v>303</v>
      </c>
      <c r="C46" s="261" t="s">
        <v>99</v>
      </c>
      <c r="D46" s="264" t="s">
        <v>304</v>
      </c>
      <c r="E46" s="199" t="s">
        <v>627</v>
      </c>
      <c r="F46" s="200">
        <v>2020</v>
      </c>
      <c r="G46" s="201">
        <v>5414</v>
      </c>
      <c r="H46" s="202"/>
      <c r="I46" s="201">
        <v>5414</v>
      </c>
      <c r="J46" s="202">
        <v>100</v>
      </c>
    </row>
    <row r="47" spans="1:10" ht="52.5" customHeight="1">
      <c r="A47" s="262"/>
      <c r="B47" s="262"/>
      <c r="C47" s="262"/>
      <c r="D47" s="265"/>
      <c r="E47" s="199" t="s">
        <v>628</v>
      </c>
      <c r="F47" s="200">
        <v>2020</v>
      </c>
      <c r="G47" s="201">
        <v>5362</v>
      </c>
      <c r="H47" s="202"/>
      <c r="I47" s="201">
        <v>5362</v>
      </c>
      <c r="J47" s="202">
        <v>100</v>
      </c>
    </row>
    <row r="48" spans="1:10" ht="43.5" customHeight="1">
      <c r="A48" s="262"/>
      <c r="B48" s="262"/>
      <c r="C48" s="262"/>
      <c r="D48" s="265"/>
      <c r="E48" s="203" t="s">
        <v>629</v>
      </c>
      <c r="F48" s="200">
        <v>2020</v>
      </c>
      <c r="G48" s="201">
        <v>10194</v>
      </c>
      <c r="H48" s="202"/>
      <c r="I48" s="201">
        <v>10194</v>
      </c>
      <c r="J48" s="202">
        <v>100</v>
      </c>
    </row>
    <row r="49" spans="1:10" ht="48" customHeight="1">
      <c r="A49" s="262"/>
      <c r="B49" s="262"/>
      <c r="C49" s="262"/>
      <c r="D49" s="265"/>
      <c r="E49" s="203" t="s">
        <v>630</v>
      </c>
      <c r="F49" s="200">
        <v>2020</v>
      </c>
      <c r="G49" s="201">
        <v>20920</v>
      </c>
      <c r="H49" s="202"/>
      <c r="I49" s="201">
        <v>20920</v>
      </c>
      <c r="J49" s="202">
        <v>100</v>
      </c>
    </row>
    <row r="50" spans="1:10" ht="48" customHeight="1">
      <c r="A50" s="262"/>
      <c r="B50" s="262"/>
      <c r="C50" s="262"/>
      <c r="D50" s="265"/>
      <c r="E50" s="203" t="s">
        <v>631</v>
      </c>
      <c r="F50" s="200" t="s">
        <v>611</v>
      </c>
      <c r="G50" s="201">
        <v>533388</v>
      </c>
      <c r="H50" s="202">
        <v>54.1</v>
      </c>
      <c r="I50" s="204">
        <f>533388-299792-47980</f>
        <v>185616</v>
      </c>
      <c r="J50" s="202">
        <v>100</v>
      </c>
    </row>
    <row r="51" spans="1:10" ht="33.75" customHeight="1">
      <c r="A51" s="262"/>
      <c r="B51" s="262"/>
      <c r="C51" s="262"/>
      <c r="D51" s="265"/>
      <c r="E51" s="203" t="s">
        <v>632</v>
      </c>
      <c r="F51" s="200" t="s">
        <v>611</v>
      </c>
      <c r="G51" s="201">
        <v>533388</v>
      </c>
      <c r="H51" s="202">
        <v>79.9</v>
      </c>
      <c r="I51" s="204">
        <v>47980</v>
      </c>
      <c r="J51" s="202">
        <v>100</v>
      </c>
    </row>
    <row r="52" spans="1:10" ht="48" customHeight="1">
      <c r="A52" s="263"/>
      <c r="B52" s="263"/>
      <c r="C52" s="263"/>
      <c r="D52" s="266"/>
      <c r="E52" s="203" t="s">
        <v>633</v>
      </c>
      <c r="F52" s="200">
        <v>2020</v>
      </c>
      <c r="G52" s="201">
        <v>372400</v>
      </c>
      <c r="H52" s="202"/>
      <c r="I52" s="204">
        <v>50000</v>
      </c>
      <c r="J52" s="202">
        <f>I52/G52*100</f>
        <v>13.426423200859292</v>
      </c>
    </row>
    <row r="53" spans="1:10" ht="79.5" customHeight="1">
      <c r="A53" s="270" t="s">
        <v>257</v>
      </c>
      <c r="B53" s="270" t="s">
        <v>258</v>
      </c>
      <c r="C53" s="270" t="s">
        <v>99</v>
      </c>
      <c r="D53" s="264" t="s">
        <v>259</v>
      </c>
      <c r="E53" s="203" t="s">
        <v>634</v>
      </c>
      <c r="F53" s="200">
        <v>2020</v>
      </c>
      <c r="G53" s="201">
        <v>377344</v>
      </c>
      <c r="H53" s="202"/>
      <c r="I53" s="201">
        <v>377344</v>
      </c>
      <c r="J53" s="202">
        <v>100</v>
      </c>
    </row>
    <row r="54" spans="1:10" ht="42" customHeight="1">
      <c r="A54" s="271"/>
      <c r="B54" s="271"/>
      <c r="C54" s="271"/>
      <c r="D54" s="269"/>
      <c r="E54" s="203" t="s">
        <v>635</v>
      </c>
      <c r="F54" s="200">
        <v>2020</v>
      </c>
      <c r="G54" s="201">
        <v>82969</v>
      </c>
      <c r="H54" s="202"/>
      <c r="I54" s="201">
        <v>82969</v>
      </c>
      <c r="J54" s="202">
        <v>100</v>
      </c>
    </row>
    <row r="55" spans="1:10" ht="54" customHeight="1">
      <c r="A55" s="271"/>
      <c r="B55" s="271"/>
      <c r="C55" s="271"/>
      <c r="D55" s="269"/>
      <c r="E55" s="203" t="s">
        <v>636</v>
      </c>
      <c r="F55" s="200">
        <v>2020</v>
      </c>
      <c r="G55" s="201">
        <v>50723</v>
      </c>
      <c r="H55" s="202"/>
      <c r="I55" s="201">
        <v>50723</v>
      </c>
      <c r="J55" s="202">
        <v>100</v>
      </c>
    </row>
    <row r="56" spans="1:10" ht="48.75" customHeight="1">
      <c r="A56" s="272"/>
      <c r="B56" s="272"/>
      <c r="C56" s="272"/>
      <c r="D56" s="274"/>
      <c r="E56" s="203" t="s">
        <v>637</v>
      </c>
      <c r="F56" s="200">
        <v>2020</v>
      </c>
      <c r="G56" s="201">
        <v>92758</v>
      </c>
      <c r="H56" s="202"/>
      <c r="I56" s="201">
        <v>92758</v>
      </c>
      <c r="J56" s="202">
        <v>100</v>
      </c>
    </row>
    <row r="57" spans="1:10" ht="51.75" customHeight="1">
      <c r="A57" s="272"/>
      <c r="B57" s="272"/>
      <c r="C57" s="272"/>
      <c r="D57" s="274"/>
      <c r="E57" s="203" t="s">
        <v>638</v>
      </c>
      <c r="F57" s="200">
        <v>2020</v>
      </c>
      <c r="G57" s="201">
        <v>83846</v>
      </c>
      <c r="H57" s="202"/>
      <c r="I57" s="201">
        <v>83846</v>
      </c>
      <c r="J57" s="202">
        <v>100</v>
      </c>
    </row>
    <row r="58" spans="1:10" ht="52.5" customHeight="1">
      <c r="A58" s="272"/>
      <c r="B58" s="272"/>
      <c r="C58" s="272"/>
      <c r="D58" s="274"/>
      <c r="E58" s="203" t="s">
        <v>639</v>
      </c>
      <c r="F58" s="200">
        <v>2020</v>
      </c>
      <c r="G58" s="201">
        <v>59562</v>
      </c>
      <c r="H58" s="202"/>
      <c r="I58" s="201">
        <v>59562</v>
      </c>
      <c r="J58" s="202">
        <v>100</v>
      </c>
    </row>
    <row r="59" spans="1:10" ht="50.25" customHeight="1">
      <c r="A59" s="272"/>
      <c r="B59" s="272"/>
      <c r="C59" s="272"/>
      <c r="D59" s="274"/>
      <c r="E59" s="203" t="s">
        <v>640</v>
      </c>
      <c r="F59" s="200">
        <v>2020</v>
      </c>
      <c r="G59" s="201">
        <v>101117</v>
      </c>
      <c r="H59" s="202"/>
      <c r="I59" s="201">
        <v>101117</v>
      </c>
      <c r="J59" s="202">
        <v>100</v>
      </c>
    </row>
    <row r="60" spans="1:10" ht="42" customHeight="1">
      <c r="A60" s="272"/>
      <c r="B60" s="272"/>
      <c r="C60" s="272"/>
      <c r="D60" s="274"/>
      <c r="E60" s="199" t="s">
        <v>641</v>
      </c>
      <c r="F60" s="200">
        <v>2020</v>
      </c>
      <c r="G60" s="201">
        <v>196893</v>
      </c>
      <c r="H60" s="202"/>
      <c r="I60" s="201">
        <v>196893</v>
      </c>
      <c r="J60" s="202">
        <v>100</v>
      </c>
    </row>
    <row r="61" spans="1:10" ht="48" customHeight="1">
      <c r="A61" s="273"/>
      <c r="B61" s="273"/>
      <c r="C61" s="273"/>
      <c r="D61" s="275"/>
      <c r="E61" s="203" t="s">
        <v>642</v>
      </c>
      <c r="F61" s="200">
        <v>2020</v>
      </c>
      <c r="G61" s="201">
        <v>46925</v>
      </c>
      <c r="H61" s="202"/>
      <c r="I61" s="201">
        <v>46925</v>
      </c>
      <c r="J61" s="202">
        <v>100</v>
      </c>
    </row>
    <row r="62" spans="1:10" ht="17.25">
      <c r="A62" s="205" t="s">
        <v>496</v>
      </c>
      <c r="B62" s="205" t="s">
        <v>496</v>
      </c>
      <c r="C62" s="205" t="s">
        <v>496</v>
      </c>
      <c r="D62" s="205" t="s">
        <v>23</v>
      </c>
      <c r="E62" s="205" t="s">
        <v>496</v>
      </c>
      <c r="F62" s="205" t="s">
        <v>496</v>
      </c>
      <c r="G62" s="205" t="s">
        <v>496</v>
      </c>
      <c r="H62" s="205"/>
      <c r="I62" s="205">
        <f>I17+I28+I36+I40+I44+I32</f>
        <v>8245432</v>
      </c>
      <c r="J62" s="205" t="s">
        <v>496</v>
      </c>
    </row>
    <row r="66" spans="2:10" ht="18">
      <c r="B66" s="30" t="s">
        <v>662</v>
      </c>
      <c r="C66" s="30"/>
      <c r="D66" s="30"/>
      <c r="E66" s="31"/>
      <c r="F66" s="30" t="s">
        <v>663</v>
      </c>
      <c r="H66" s="31"/>
      <c r="I66" s="30"/>
      <c r="J66" s="31"/>
    </row>
    <row r="69" ht="12.75">
      <c r="I69" s="206"/>
    </row>
  </sheetData>
  <sheetProtection/>
  <mergeCells count="31">
    <mergeCell ref="D53:D61"/>
    <mergeCell ref="A34:A35"/>
    <mergeCell ref="B34:B35"/>
    <mergeCell ref="C34:C35"/>
    <mergeCell ref="D34:D35"/>
    <mergeCell ref="A25:A27"/>
    <mergeCell ref="B46:B52"/>
    <mergeCell ref="C25:C27"/>
    <mergeCell ref="A53:A61"/>
    <mergeCell ref="B53:B61"/>
    <mergeCell ref="C53:C61"/>
    <mergeCell ref="F11:F15"/>
    <mergeCell ref="A46:A52"/>
    <mergeCell ref="H11:H15"/>
    <mergeCell ref="C46:C52"/>
    <mergeCell ref="D46:D52"/>
    <mergeCell ref="J11:J15"/>
    <mergeCell ref="A20:A24"/>
    <mergeCell ref="B20:B24"/>
    <mergeCell ref="C20:C24"/>
    <mergeCell ref="D20:D24"/>
    <mergeCell ref="G11:G15"/>
    <mergeCell ref="B25:B27"/>
    <mergeCell ref="I11:I15"/>
    <mergeCell ref="D25:D27"/>
    <mergeCell ref="A6:J7"/>
    <mergeCell ref="A11:A15"/>
    <mergeCell ref="B11:B15"/>
    <mergeCell ref="C11:C15"/>
    <mergeCell ref="D11:D15"/>
    <mergeCell ref="E11:E15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2"/>
  <sheetViews>
    <sheetView zoomScalePageLayoutView="0" workbookViewId="0" topLeftCell="F1">
      <selection activeCell="A6" sqref="A6:J6"/>
    </sheetView>
  </sheetViews>
  <sheetFormatPr defaultColWidth="9.125" defaultRowHeight="12.75"/>
  <cols>
    <col min="1" max="1" width="15.00390625" style="19" customWidth="1"/>
    <col min="2" max="2" width="14.375" style="19" customWidth="1"/>
    <col min="3" max="3" width="14.875" style="19" customWidth="1"/>
    <col min="4" max="4" width="59.125" style="19" customWidth="1"/>
    <col min="5" max="5" width="50.375" style="19" bestFit="1" customWidth="1"/>
    <col min="6" max="6" width="18.50390625" style="136" customWidth="1"/>
    <col min="7" max="7" width="19.5039062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0" ht="18">
      <c r="I1" s="30" t="s">
        <v>590</v>
      </c>
      <c r="J1" s="8"/>
    </row>
    <row r="2" spans="9:11" ht="18">
      <c r="I2" s="46" t="s">
        <v>660</v>
      </c>
      <c r="J2" s="137"/>
      <c r="K2"/>
    </row>
    <row r="3" spans="9:11" ht="18">
      <c r="I3" s="30" t="s">
        <v>661</v>
      </c>
      <c r="J3" s="8"/>
      <c r="K3"/>
    </row>
    <row r="4" spans="9:11" ht="18">
      <c r="I4" s="30" t="s">
        <v>665</v>
      </c>
      <c r="J4" s="8"/>
      <c r="K4"/>
    </row>
    <row r="5" spans="9:10" ht="15">
      <c r="I5"/>
      <c r="J5"/>
    </row>
    <row r="6" spans="1:10" ht="20.25">
      <c r="A6" s="302" t="s">
        <v>498</v>
      </c>
      <c r="B6" s="302"/>
      <c r="C6" s="302"/>
      <c r="D6" s="302"/>
      <c r="E6" s="302"/>
      <c r="F6" s="302"/>
      <c r="G6" s="302"/>
      <c r="H6" s="302"/>
      <c r="I6" s="302"/>
      <c r="J6" s="302"/>
    </row>
    <row r="7" ht="15">
      <c r="A7" s="136">
        <v>21528000000</v>
      </c>
    </row>
    <row r="8" ht="15">
      <c r="A8" s="138" t="s">
        <v>25</v>
      </c>
    </row>
    <row r="9" ht="15">
      <c r="J9" s="136" t="s">
        <v>5</v>
      </c>
    </row>
    <row r="10" spans="1:10" s="140" customFormat="1" ht="41.25" customHeight="1">
      <c r="A10" s="293" t="s">
        <v>27</v>
      </c>
      <c r="B10" s="293" t="s">
        <v>28</v>
      </c>
      <c r="C10" s="293" t="s">
        <v>16</v>
      </c>
      <c r="D10" s="293" t="s">
        <v>499</v>
      </c>
      <c r="E10" s="293" t="s">
        <v>500</v>
      </c>
      <c r="F10" s="293" t="s">
        <v>501</v>
      </c>
      <c r="G10" s="293" t="s">
        <v>7</v>
      </c>
      <c r="H10" s="293" t="s">
        <v>8</v>
      </c>
      <c r="I10" s="293" t="s">
        <v>9</v>
      </c>
      <c r="J10" s="293"/>
    </row>
    <row r="11" spans="1:10" s="140" customFormat="1" ht="9.75" customHeight="1" hidden="1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s="140" customFormat="1" ht="15" hidden="1">
      <c r="A12" s="293"/>
      <c r="B12" s="293"/>
      <c r="C12" s="293"/>
      <c r="D12" s="293"/>
      <c r="E12" s="293"/>
      <c r="F12" s="293"/>
      <c r="G12" s="293"/>
      <c r="H12" s="293"/>
      <c r="I12" s="293"/>
      <c r="J12" s="293"/>
    </row>
    <row r="13" spans="1:10" s="140" customFormat="1" ht="9.75" customHeight="1" hidden="1">
      <c r="A13" s="293"/>
      <c r="B13" s="293"/>
      <c r="C13" s="293"/>
      <c r="D13" s="293"/>
      <c r="E13" s="293"/>
      <c r="F13" s="293"/>
      <c r="G13" s="293"/>
      <c r="H13" s="293"/>
      <c r="I13" s="293"/>
      <c r="J13" s="293"/>
    </row>
    <row r="14" spans="1:10" s="140" customFormat="1" ht="15" hidden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</row>
    <row r="15" spans="1:10" s="140" customFormat="1" ht="51" customHeight="1">
      <c r="A15" s="293"/>
      <c r="B15" s="293"/>
      <c r="C15" s="293"/>
      <c r="D15" s="293"/>
      <c r="E15" s="293"/>
      <c r="F15" s="293"/>
      <c r="G15" s="293"/>
      <c r="H15" s="293"/>
      <c r="I15" s="293" t="s">
        <v>10</v>
      </c>
      <c r="J15" s="293" t="s">
        <v>11</v>
      </c>
    </row>
    <row r="16" spans="1:10" s="140" customFormat="1" ht="99.75" customHeight="1">
      <c r="A16" s="293"/>
      <c r="B16" s="293"/>
      <c r="C16" s="293"/>
      <c r="D16" s="293"/>
      <c r="E16" s="293"/>
      <c r="F16" s="293"/>
      <c r="G16" s="293"/>
      <c r="H16" s="293"/>
      <c r="I16" s="293"/>
      <c r="J16" s="293"/>
    </row>
    <row r="17" spans="1:10" ht="1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</row>
    <row r="18" spans="1:10" ht="15">
      <c r="A18" s="141" t="s">
        <v>30</v>
      </c>
      <c r="B18" s="141"/>
      <c r="C18" s="141"/>
      <c r="D18" s="142" t="s">
        <v>31</v>
      </c>
      <c r="E18" s="26"/>
      <c r="F18" s="26"/>
      <c r="G18" s="36">
        <f>G19</f>
        <v>108455733</v>
      </c>
      <c r="H18" s="36">
        <f>H19</f>
        <v>80559114</v>
      </c>
      <c r="I18" s="36">
        <f>I19</f>
        <v>27896619</v>
      </c>
      <c r="J18" s="36">
        <f>J19</f>
        <v>26914661</v>
      </c>
    </row>
    <row r="19" spans="1:10" ht="15">
      <c r="A19" s="141" t="s">
        <v>32</v>
      </c>
      <c r="B19" s="141"/>
      <c r="C19" s="141"/>
      <c r="D19" s="142" t="s">
        <v>31</v>
      </c>
      <c r="E19" s="26"/>
      <c r="F19" s="26"/>
      <c r="G19" s="36">
        <f>SUM(G20:G66)</f>
        <v>108455733</v>
      </c>
      <c r="H19" s="36">
        <f>SUM(H20:H66)</f>
        <v>80559114</v>
      </c>
      <c r="I19" s="36">
        <f>SUM(I20:I66)</f>
        <v>27896619</v>
      </c>
      <c r="J19" s="36">
        <f>SUM(J20:J66)</f>
        <v>26914661</v>
      </c>
    </row>
    <row r="20" spans="1:10" ht="78">
      <c r="A20" s="143" t="s">
        <v>33</v>
      </c>
      <c r="B20" s="143" t="s">
        <v>34</v>
      </c>
      <c r="C20" s="143" t="s">
        <v>35</v>
      </c>
      <c r="D20" s="144" t="s">
        <v>36</v>
      </c>
      <c r="E20" s="144" t="s">
        <v>502</v>
      </c>
      <c r="F20" s="139" t="s">
        <v>503</v>
      </c>
      <c r="G20" s="34">
        <f>H20+I20</f>
        <v>723835</v>
      </c>
      <c r="H20" s="34">
        <f>198326+201505+71594+62000</f>
        <v>533425</v>
      </c>
      <c r="I20" s="34">
        <f>J20</f>
        <v>190410</v>
      </c>
      <c r="J20" s="34">
        <f>180650+9760</f>
        <v>190410</v>
      </c>
    </row>
    <row r="21" spans="1:10" ht="78">
      <c r="A21" s="143" t="s">
        <v>40</v>
      </c>
      <c r="B21" s="145" t="s">
        <v>41</v>
      </c>
      <c r="C21" s="146" t="s">
        <v>42</v>
      </c>
      <c r="D21" s="144" t="s">
        <v>504</v>
      </c>
      <c r="E21" s="147" t="s">
        <v>505</v>
      </c>
      <c r="F21" s="139" t="s">
        <v>506</v>
      </c>
      <c r="G21" s="34">
        <f>H21+I21</f>
        <v>815115</v>
      </c>
      <c r="H21" s="34">
        <v>759115</v>
      </c>
      <c r="I21" s="34">
        <v>56000</v>
      </c>
      <c r="J21" s="34"/>
    </row>
    <row r="22" spans="1:10" ht="111.75" customHeight="1">
      <c r="A22" s="285" t="s">
        <v>45</v>
      </c>
      <c r="B22" s="301" t="s">
        <v>46</v>
      </c>
      <c r="C22" s="285" t="s">
        <v>47</v>
      </c>
      <c r="D22" s="294" t="s">
        <v>48</v>
      </c>
      <c r="E22" s="148" t="s">
        <v>507</v>
      </c>
      <c r="F22" s="149" t="s">
        <v>508</v>
      </c>
      <c r="G22" s="34">
        <f>H22+I22</f>
        <v>7319692</v>
      </c>
      <c r="H22" s="35">
        <f>5556832+183938+400000+654823-270000-73301</f>
        <v>6452292</v>
      </c>
      <c r="I22" s="34">
        <f>J22</f>
        <v>867400</v>
      </c>
      <c r="J22" s="34">
        <f>767500+99900+945200-945200</f>
        <v>867400</v>
      </c>
    </row>
    <row r="23" spans="1:10" ht="96" customHeight="1">
      <c r="A23" s="285"/>
      <c r="B23" s="301"/>
      <c r="C23" s="285"/>
      <c r="D23" s="294"/>
      <c r="E23" s="148" t="s">
        <v>509</v>
      </c>
      <c r="F23" s="139" t="s">
        <v>643</v>
      </c>
      <c r="G23" s="34">
        <f>H23+I23</f>
        <v>13285209</v>
      </c>
      <c r="H23" s="35">
        <f>4432232+1098750+135494+750000+137200+169202+71920+750000+20110+650000+270000+73301</f>
        <v>8558209</v>
      </c>
      <c r="I23" s="34">
        <f>J23</f>
        <v>4727000</v>
      </c>
      <c r="J23" s="34">
        <f>4727000</f>
        <v>4727000</v>
      </c>
    </row>
    <row r="24" spans="1:10" ht="96" customHeight="1">
      <c r="A24" s="143" t="s">
        <v>57</v>
      </c>
      <c r="B24" s="143" t="s">
        <v>58</v>
      </c>
      <c r="C24" s="143" t="s">
        <v>59</v>
      </c>
      <c r="D24" s="147" t="s">
        <v>60</v>
      </c>
      <c r="E24" s="148" t="s">
        <v>510</v>
      </c>
      <c r="F24" s="139" t="s">
        <v>644</v>
      </c>
      <c r="G24" s="34">
        <f aca="true" t="shared" si="0" ref="G24:G66">H24+I24</f>
        <v>1026844</v>
      </c>
      <c r="H24" s="35">
        <f>820783+58061+100000</f>
        <v>978844</v>
      </c>
      <c r="I24" s="34">
        <f>J24</f>
        <v>48000</v>
      </c>
      <c r="J24" s="34">
        <f>48000</f>
        <v>48000</v>
      </c>
    </row>
    <row r="25" spans="1:10" ht="93">
      <c r="A25" s="276" t="s">
        <v>53</v>
      </c>
      <c r="B25" s="295">
        <v>2152</v>
      </c>
      <c r="C25" s="256" t="s">
        <v>55</v>
      </c>
      <c r="D25" s="258" t="s">
        <v>56</v>
      </c>
      <c r="E25" s="148" t="s">
        <v>511</v>
      </c>
      <c r="F25" s="149" t="s">
        <v>512</v>
      </c>
      <c r="G25" s="34">
        <f t="shared" si="0"/>
        <v>199000</v>
      </c>
      <c r="H25" s="34">
        <v>199000</v>
      </c>
      <c r="I25" s="34"/>
      <c r="J25" s="34"/>
    </row>
    <row r="26" spans="1:10" ht="78">
      <c r="A26" s="276"/>
      <c r="B26" s="295"/>
      <c r="C26" s="256"/>
      <c r="D26" s="258"/>
      <c r="E26" s="148" t="s">
        <v>513</v>
      </c>
      <c r="F26" s="149" t="s">
        <v>514</v>
      </c>
      <c r="G26" s="34">
        <f>H26+I26</f>
        <v>80000</v>
      </c>
      <c r="H26" s="34">
        <v>80000</v>
      </c>
      <c r="I26" s="34"/>
      <c r="J26" s="34"/>
    </row>
    <row r="27" spans="1:10" ht="93">
      <c r="A27" s="276"/>
      <c r="B27" s="295"/>
      <c r="C27" s="256"/>
      <c r="D27" s="258"/>
      <c r="E27" s="148" t="s">
        <v>515</v>
      </c>
      <c r="F27" s="149" t="s">
        <v>516</v>
      </c>
      <c r="G27" s="34">
        <f>H27+I27</f>
        <v>100000</v>
      </c>
      <c r="H27" s="34">
        <v>100000</v>
      </c>
      <c r="I27" s="34"/>
      <c r="J27" s="34"/>
    </row>
    <row r="28" spans="1:10" ht="99" customHeight="1">
      <c r="A28" s="276"/>
      <c r="B28" s="295"/>
      <c r="C28" s="257"/>
      <c r="D28" s="259"/>
      <c r="E28" s="148" t="s">
        <v>517</v>
      </c>
      <c r="F28" s="139" t="s">
        <v>645</v>
      </c>
      <c r="G28" s="34">
        <f t="shared" si="0"/>
        <v>4407980</v>
      </c>
      <c r="H28" s="34">
        <f>4654600-476620+100000+230000-100000</f>
        <v>4407980</v>
      </c>
      <c r="I28" s="34"/>
      <c r="J28" s="34"/>
    </row>
    <row r="29" spans="1:10" ht="98.25" customHeight="1">
      <c r="A29" s="276"/>
      <c r="B29" s="295"/>
      <c r="C29" s="257"/>
      <c r="D29" s="259"/>
      <c r="E29" s="148" t="s">
        <v>510</v>
      </c>
      <c r="F29" s="139" t="s">
        <v>644</v>
      </c>
      <c r="G29" s="34">
        <f t="shared" si="0"/>
        <v>706039</v>
      </c>
      <c r="H29" s="34">
        <f>106039+600000</f>
        <v>706039</v>
      </c>
      <c r="I29" s="34"/>
      <c r="J29" s="34"/>
    </row>
    <row r="30" spans="1:10" ht="110.25" customHeight="1">
      <c r="A30" s="276"/>
      <c r="B30" s="295"/>
      <c r="C30" s="257"/>
      <c r="D30" s="259"/>
      <c r="E30" s="148" t="s">
        <v>518</v>
      </c>
      <c r="F30" s="149" t="s">
        <v>519</v>
      </c>
      <c r="G30" s="34">
        <f t="shared" si="0"/>
        <v>1478500</v>
      </c>
      <c r="H30" s="34">
        <f>1356000+122500</f>
        <v>1478500</v>
      </c>
      <c r="I30" s="34"/>
      <c r="J30" s="34"/>
    </row>
    <row r="31" spans="1:10" ht="106.5" customHeight="1">
      <c r="A31" s="143" t="s">
        <v>63</v>
      </c>
      <c r="B31" s="151">
        <v>3112</v>
      </c>
      <c r="C31" s="146" t="s">
        <v>65</v>
      </c>
      <c r="D31" s="147" t="s">
        <v>66</v>
      </c>
      <c r="E31" s="152" t="s">
        <v>520</v>
      </c>
      <c r="F31" s="139" t="s">
        <v>521</v>
      </c>
      <c r="G31" s="34">
        <f t="shared" si="0"/>
        <v>5000</v>
      </c>
      <c r="H31" s="34">
        <v>5000</v>
      </c>
      <c r="I31" s="34"/>
      <c r="J31" s="34"/>
    </row>
    <row r="32" spans="1:10" ht="93">
      <c r="A32" s="143" t="s">
        <v>67</v>
      </c>
      <c r="B32" s="143" t="s">
        <v>68</v>
      </c>
      <c r="C32" s="143" t="s">
        <v>69</v>
      </c>
      <c r="D32" s="147" t="s">
        <v>70</v>
      </c>
      <c r="E32" s="148" t="s">
        <v>511</v>
      </c>
      <c r="F32" s="149" t="s">
        <v>512</v>
      </c>
      <c r="G32" s="34">
        <f t="shared" si="0"/>
        <v>126000</v>
      </c>
      <c r="H32" s="34">
        <f>94000+32000</f>
        <v>126000</v>
      </c>
      <c r="I32" s="34"/>
      <c r="J32" s="34"/>
    </row>
    <row r="33" spans="1:10" ht="78">
      <c r="A33" s="143" t="s">
        <v>378</v>
      </c>
      <c r="B33" s="143" t="s">
        <v>367</v>
      </c>
      <c r="C33" s="143" t="s">
        <v>368</v>
      </c>
      <c r="D33" s="147" t="s">
        <v>369</v>
      </c>
      <c r="E33" s="153" t="s">
        <v>522</v>
      </c>
      <c r="F33" s="149" t="s">
        <v>646</v>
      </c>
      <c r="G33" s="34">
        <f>H33+I33</f>
        <v>89320</v>
      </c>
      <c r="H33" s="34">
        <v>89320</v>
      </c>
      <c r="I33" s="34"/>
      <c r="J33" s="34"/>
    </row>
    <row r="34" spans="1:10" ht="93">
      <c r="A34" s="143" t="s">
        <v>71</v>
      </c>
      <c r="B34" s="143" t="s">
        <v>72</v>
      </c>
      <c r="C34" s="143" t="s">
        <v>73</v>
      </c>
      <c r="D34" s="147" t="s">
        <v>523</v>
      </c>
      <c r="E34" s="148" t="s">
        <v>511</v>
      </c>
      <c r="F34" s="149" t="s">
        <v>512</v>
      </c>
      <c r="G34" s="34">
        <f t="shared" si="0"/>
        <v>800000</v>
      </c>
      <c r="H34" s="34">
        <v>800000</v>
      </c>
      <c r="I34" s="34"/>
      <c r="J34" s="34"/>
    </row>
    <row r="35" spans="1:10" ht="100.5" customHeight="1">
      <c r="A35" s="143" t="s">
        <v>75</v>
      </c>
      <c r="B35" s="143" t="s">
        <v>76</v>
      </c>
      <c r="C35" s="143" t="s">
        <v>77</v>
      </c>
      <c r="D35" s="147" t="s">
        <v>78</v>
      </c>
      <c r="E35" s="144" t="s">
        <v>524</v>
      </c>
      <c r="F35" s="149" t="s">
        <v>525</v>
      </c>
      <c r="G35" s="34">
        <f>H35+I35</f>
        <v>253522</v>
      </c>
      <c r="H35" s="34">
        <v>253522</v>
      </c>
      <c r="I35" s="34"/>
      <c r="J35" s="34"/>
    </row>
    <row r="36" spans="1:10" ht="93">
      <c r="A36" s="143" t="s">
        <v>79</v>
      </c>
      <c r="B36" s="143" t="s">
        <v>80</v>
      </c>
      <c r="C36" s="143" t="s">
        <v>77</v>
      </c>
      <c r="D36" s="147" t="s">
        <v>81</v>
      </c>
      <c r="E36" s="144" t="s">
        <v>524</v>
      </c>
      <c r="F36" s="149" t="s">
        <v>525</v>
      </c>
      <c r="G36" s="34">
        <f t="shared" si="0"/>
        <v>1684800</v>
      </c>
      <c r="H36" s="34">
        <f>1184800+500000</f>
        <v>1684800</v>
      </c>
      <c r="I36" s="34"/>
      <c r="J36" s="34"/>
    </row>
    <row r="37" spans="1:10" ht="109.5" customHeight="1">
      <c r="A37" s="143" t="s">
        <v>82</v>
      </c>
      <c r="B37" s="143" t="s">
        <v>83</v>
      </c>
      <c r="C37" s="143" t="s">
        <v>77</v>
      </c>
      <c r="D37" s="147" t="s">
        <v>526</v>
      </c>
      <c r="E37" s="152" t="s">
        <v>527</v>
      </c>
      <c r="F37" s="154" t="s">
        <v>528</v>
      </c>
      <c r="G37" s="34">
        <f t="shared" si="0"/>
        <v>2000000</v>
      </c>
      <c r="H37" s="34">
        <v>2000000</v>
      </c>
      <c r="I37" s="34"/>
      <c r="J37" s="34"/>
    </row>
    <row r="38" spans="1:10" ht="110.25" customHeight="1">
      <c r="A38" s="143" t="s">
        <v>85</v>
      </c>
      <c r="B38" s="143" t="s">
        <v>86</v>
      </c>
      <c r="C38" s="143" t="s">
        <v>77</v>
      </c>
      <c r="D38" s="147" t="s">
        <v>87</v>
      </c>
      <c r="E38" s="144" t="s">
        <v>524</v>
      </c>
      <c r="F38" s="149" t="s">
        <v>525</v>
      </c>
      <c r="G38" s="34">
        <f t="shared" si="0"/>
        <v>1273268</v>
      </c>
      <c r="H38" s="34">
        <f>300000+400000+473268+100000</f>
        <v>1273268</v>
      </c>
      <c r="I38" s="34"/>
      <c r="J38" s="34"/>
    </row>
    <row r="39" spans="1:10" ht="115.5" customHeight="1">
      <c r="A39" s="143" t="s">
        <v>88</v>
      </c>
      <c r="B39" s="146" t="s">
        <v>89</v>
      </c>
      <c r="C39" s="146" t="s">
        <v>77</v>
      </c>
      <c r="D39" s="147" t="s">
        <v>90</v>
      </c>
      <c r="E39" s="152" t="s">
        <v>527</v>
      </c>
      <c r="F39" s="154" t="s">
        <v>528</v>
      </c>
      <c r="G39" s="34">
        <f t="shared" si="0"/>
        <v>31117320</v>
      </c>
      <c r="H39" s="34">
        <f>31117320</f>
        <v>31117320</v>
      </c>
      <c r="I39" s="34"/>
      <c r="J39" s="34"/>
    </row>
    <row r="40" spans="1:10" ht="103.5" customHeight="1">
      <c r="A40" s="143" t="s">
        <v>386</v>
      </c>
      <c r="B40" s="143" t="s">
        <v>387</v>
      </c>
      <c r="C40" s="143" t="s">
        <v>91</v>
      </c>
      <c r="D40" s="169" t="s">
        <v>388</v>
      </c>
      <c r="E40" s="144" t="s">
        <v>524</v>
      </c>
      <c r="F40" s="149" t="s">
        <v>525</v>
      </c>
      <c r="G40" s="34">
        <f t="shared" si="0"/>
        <v>1836676</v>
      </c>
      <c r="H40" s="34">
        <f>1030968+805708</f>
        <v>1836676</v>
      </c>
      <c r="I40" s="34"/>
      <c r="J40" s="34"/>
    </row>
    <row r="41" spans="1:10" ht="93.75" customHeight="1">
      <c r="A41" s="276" t="s">
        <v>92</v>
      </c>
      <c r="B41" s="276" t="s">
        <v>93</v>
      </c>
      <c r="C41" s="276" t="s">
        <v>91</v>
      </c>
      <c r="D41" s="300" t="s">
        <v>94</v>
      </c>
      <c r="E41" s="148" t="s">
        <v>511</v>
      </c>
      <c r="F41" s="149" t="s">
        <v>512</v>
      </c>
      <c r="G41" s="34">
        <f t="shared" si="0"/>
        <v>49500</v>
      </c>
      <c r="H41" s="34">
        <v>49500</v>
      </c>
      <c r="I41" s="34"/>
      <c r="J41" s="34"/>
    </row>
    <row r="42" spans="1:10" ht="106.5" customHeight="1">
      <c r="A42" s="295"/>
      <c r="B42" s="295"/>
      <c r="C42" s="295"/>
      <c r="D42" s="294"/>
      <c r="E42" s="152" t="s">
        <v>527</v>
      </c>
      <c r="F42" s="154" t="s">
        <v>528</v>
      </c>
      <c r="G42" s="34">
        <f t="shared" si="0"/>
        <v>150000</v>
      </c>
      <c r="H42" s="34">
        <v>150000</v>
      </c>
      <c r="I42" s="34"/>
      <c r="J42" s="34"/>
    </row>
    <row r="43" spans="1:10" ht="78">
      <c r="A43" s="143" t="s">
        <v>95</v>
      </c>
      <c r="B43" s="143" t="s">
        <v>96</v>
      </c>
      <c r="C43" s="143" t="s">
        <v>97</v>
      </c>
      <c r="D43" s="155" t="s">
        <v>529</v>
      </c>
      <c r="E43" s="152" t="s">
        <v>530</v>
      </c>
      <c r="F43" s="149" t="s">
        <v>531</v>
      </c>
      <c r="G43" s="34">
        <f t="shared" si="0"/>
        <v>100000</v>
      </c>
      <c r="H43" s="34">
        <v>100000</v>
      </c>
      <c r="I43" s="34"/>
      <c r="J43" s="34"/>
    </row>
    <row r="44" spans="1:10" ht="93">
      <c r="A44" s="276" t="s">
        <v>352</v>
      </c>
      <c r="B44" s="276" t="s">
        <v>303</v>
      </c>
      <c r="C44" s="276" t="s">
        <v>99</v>
      </c>
      <c r="D44" s="294" t="s">
        <v>304</v>
      </c>
      <c r="E44" s="148" t="s">
        <v>532</v>
      </c>
      <c r="F44" s="154" t="s">
        <v>647</v>
      </c>
      <c r="G44" s="34">
        <f>H44+I44</f>
        <v>3350767</v>
      </c>
      <c r="H44" s="34"/>
      <c r="I44" s="34">
        <f aca="true" t="shared" si="1" ref="I44:I51">J44</f>
        <v>3350767</v>
      </c>
      <c r="J44" s="34">
        <f>1489850+1061729+799188</f>
        <v>3350767</v>
      </c>
    </row>
    <row r="45" spans="1:10" ht="93">
      <c r="A45" s="257"/>
      <c r="B45" s="257"/>
      <c r="C45" s="257"/>
      <c r="D45" s="259"/>
      <c r="E45" s="152" t="s">
        <v>534</v>
      </c>
      <c r="F45" s="154" t="s">
        <v>535</v>
      </c>
      <c r="G45" s="34">
        <f>H45+I45</f>
        <v>401229</v>
      </c>
      <c r="H45" s="34"/>
      <c r="I45" s="34">
        <f t="shared" si="1"/>
        <v>401229</v>
      </c>
      <c r="J45" s="34">
        <f>401229</f>
        <v>401229</v>
      </c>
    </row>
    <row r="46" spans="1:10" ht="93">
      <c r="A46" s="277" t="s">
        <v>383</v>
      </c>
      <c r="B46" s="277" t="s">
        <v>384</v>
      </c>
      <c r="C46" s="277" t="s">
        <v>99</v>
      </c>
      <c r="D46" s="280" t="s">
        <v>385</v>
      </c>
      <c r="E46" s="148" t="s">
        <v>507</v>
      </c>
      <c r="F46" s="149" t="s">
        <v>508</v>
      </c>
      <c r="G46" s="34">
        <f>H46+I46</f>
        <v>1110133</v>
      </c>
      <c r="H46" s="34"/>
      <c r="I46" s="34">
        <f t="shared" si="1"/>
        <v>1110133</v>
      </c>
      <c r="J46" s="34">
        <f>182560+682318+245255</f>
        <v>1110133</v>
      </c>
    </row>
    <row r="47" spans="1:10" ht="93">
      <c r="A47" s="278"/>
      <c r="B47" s="278"/>
      <c r="C47" s="278"/>
      <c r="D47" s="281"/>
      <c r="E47" s="148" t="s">
        <v>510</v>
      </c>
      <c r="F47" s="139" t="s">
        <v>644</v>
      </c>
      <c r="G47" s="34">
        <f>I47+H47</f>
        <v>250000</v>
      </c>
      <c r="H47" s="34"/>
      <c r="I47" s="34">
        <f>J47</f>
        <v>250000</v>
      </c>
      <c r="J47" s="34">
        <v>250000</v>
      </c>
    </row>
    <row r="48" spans="1:10" ht="93">
      <c r="A48" s="279"/>
      <c r="B48" s="279"/>
      <c r="C48" s="279"/>
      <c r="D48" s="266"/>
      <c r="E48" s="148" t="s">
        <v>509</v>
      </c>
      <c r="F48" s="139" t="s">
        <v>643</v>
      </c>
      <c r="G48" s="34">
        <f>H48+I48</f>
        <v>711330</v>
      </c>
      <c r="H48" s="34"/>
      <c r="I48" s="34">
        <f>J48</f>
        <v>711330</v>
      </c>
      <c r="J48" s="34">
        <f>200000+272399+238931</f>
        <v>711330</v>
      </c>
    </row>
    <row r="49" spans="1:10" ht="93">
      <c r="A49" s="276" t="s">
        <v>337</v>
      </c>
      <c r="B49" s="276" t="s">
        <v>258</v>
      </c>
      <c r="C49" s="276" t="s">
        <v>99</v>
      </c>
      <c r="D49" s="294" t="s">
        <v>338</v>
      </c>
      <c r="E49" s="148" t="s">
        <v>532</v>
      </c>
      <c r="F49" s="154" t="s">
        <v>648</v>
      </c>
      <c r="G49" s="34">
        <f>H49+I49</f>
        <v>1903815</v>
      </c>
      <c r="H49" s="34"/>
      <c r="I49" s="34">
        <f t="shared" si="1"/>
        <v>1903815</v>
      </c>
      <c r="J49" s="34">
        <f>578509+138312+53021+747973+300000+60000+26000</f>
        <v>1903815</v>
      </c>
    </row>
    <row r="50" spans="1:10" ht="99" customHeight="1">
      <c r="A50" s="257"/>
      <c r="B50" s="257"/>
      <c r="C50" s="257"/>
      <c r="D50" s="259"/>
      <c r="E50" s="152" t="s">
        <v>527</v>
      </c>
      <c r="F50" s="154" t="s">
        <v>528</v>
      </c>
      <c r="G50" s="34">
        <f>H50+I50</f>
        <v>1035724</v>
      </c>
      <c r="H50" s="34"/>
      <c r="I50" s="34">
        <f t="shared" si="1"/>
        <v>1035724</v>
      </c>
      <c r="J50" s="34">
        <f>1035724</f>
        <v>1035724</v>
      </c>
    </row>
    <row r="51" spans="1:10" ht="93">
      <c r="A51" s="143" t="s">
        <v>315</v>
      </c>
      <c r="B51" s="143" t="s">
        <v>313</v>
      </c>
      <c r="C51" s="143" t="s">
        <v>100</v>
      </c>
      <c r="D51" s="144" t="s">
        <v>314</v>
      </c>
      <c r="E51" s="148" t="s">
        <v>532</v>
      </c>
      <c r="F51" s="154" t="s">
        <v>648</v>
      </c>
      <c r="G51" s="34">
        <f t="shared" si="0"/>
        <v>1306707</v>
      </c>
      <c r="H51" s="34"/>
      <c r="I51" s="34">
        <f t="shared" si="1"/>
        <v>1306707</v>
      </c>
      <c r="J51" s="34">
        <f>2711044-1404337</f>
        <v>1306707</v>
      </c>
    </row>
    <row r="52" spans="1:10" ht="78">
      <c r="A52" s="143" t="s">
        <v>379</v>
      </c>
      <c r="B52" s="143" t="s">
        <v>380</v>
      </c>
      <c r="C52" s="143" t="s">
        <v>381</v>
      </c>
      <c r="D52" s="147" t="s">
        <v>382</v>
      </c>
      <c r="E52" s="148" t="s">
        <v>536</v>
      </c>
      <c r="F52" s="154" t="s">
        <v>649</v>
      </c>
      <c r="G52" s="34">
        <f>H52+I52</f>
        <v>407127</v>
      </c>
      <c r="H52" s="34">
        <f>187310+219817</f>
        <v>407127</v>
      </c>
      <c r="I52" s="34"/>
      <c r="J52" s="34"/>
    </row>
    <row r="53" spans="1:10" ht="93">
      <c r="A53" s="143" t="s">
        <v>101</v>
      </c>
      <c r="B53" s="143" t="s">
        <v>102</v>
      </c>
      <c r="C53" s="143" t="s">
        <v>103</v>
      </c>
      <c r="D53" s="147" t="s">
        <v>104</v>
      </c>
      <c r="E53" s="152" t="s">
        <v>527</v>
      </c>
      <c r="F53" s="154" t="s">
        <v>528</v>
      </c>
      <c r="G53" s="34">
        <f t="shared" si="0"/>
        <v>7500000</v>
      </c>
      <c r="H53" s="34">
        <v>7500000</v>
      </c>
      <c r="I53" s="34"/>
      <c r="J53" s="34"/>
    </row>
    <row r="54" spans="1:10" ht="93">
      <c r="A54" s="307" t="s">
        <v>316</v>
      </c>
      <c r="B54" s="307" t="s">
        <v>317</v>
      </c>
      <c r="C54" s="307" t="s">
        <v>100</v>
      </c>
      <c r="D54" s="308" t="s">
        <v>318</v>
      </c>
      <c r="E54" s="144" t="s">
        <v>524</v>
      </c>
      <c r="F54" s="149" t="s">
        <v>525</v>
      </c>
      <c r="G54" s="34">
        <f t="shared" si="0"/>
        <v>10066946</v>
      </c>
      <c r="H54" s="34"/>
      <c r="I54" s="34">
        <f>J54</f>
        <v>10066946</v>
      </c>
      <c r="J54" s="34">
        <f>13750000+512640+65306+239000-4500000</f>
        <v>10066946</v>
      </c>
    </row>
    <row r="55" spans="1:10" ht="93">
      <c r="A55" s="263"/>
      <c r="B55" s="263"/>
      <c r="C55" s="263"/>
      <c r="D55" s="305"/>
      <c r="E55" s="148" t="s">
        <v>507</v>
      </c>
      <c r="F55" s="149" t="s">
        <v>508</v>
      </c>
      <c r="G55" s="34">
        <f t="shared" si="0"/>
        <v>945200</v>
      </c>
      <c r="H55" s="34"/>
      <c r="I55" s="34">
        <f>J55</f>
        <v>945200</v>
      </c>
      <c r="J55" s="34">
        <v>945200</v>
      </c>
    </row>
    <row r="56" spans="1:10" ht="93">
      <c r="A56" s="143" t="s">
        <v>105</v>
      </c>
      <c r="B56" s="143" t="s">
        <v>106</v>
      </c>
      <c r="C56" s="143" t="s">
        <v>100</v>
      </c>
      <c r="D56" s="144" t="s">
        <v>107</v>
      </c>
      <c r="E56" s="144" t="s">
        <v>537</v>
      </c>
      <c r="F56" s="139" t="s">
        <v>538</v>
      </c>
      <c r="G56" s="34">
        <f t="shared" si="0"/>
        <v>29837</v>
      </c>
      <c r="H56" s="34">
        <f>25325+4512</f>
        <v>29837</v>
      </c>
      <c r="I56" s="34"/>
      <c r="J56" s="34"/>
    </row>
    <row r="57" spans="1:10" ht="93">
      <c r="A57" s="276" t="s">
        <v>108</v>
      </c>
      <c r="B57" s="276" t="s">
        <v>109</v>
      </c>
      <c r="C57" s="276" t="s">
        <v>100</v>
      </c>
      <c r="D57" s="299" t="s">
        <v>110</v>
      </c>
      <c r="E57" s="144" t="s">
        <v>502</v>
      </c>
      <c r="F57" s="139" t="s">
        <v>538</v>
      </c>
      <c r="G57" s="34">
        <f t="shared" si="0"/>
        <v>2359563</v>
      </c>
      <c r="H57" s="34">
        <f>14000+36000+28618+840000+31340+98700+38420+400000+17669+195000+78000+386452+195364</f>
        <v>2359563</v>
      </c>
      <c r="I57" s="34"/>
      <c r="J57" s="34"/>
    </row>
    <row r="58" spans="1:10" ht="78">
      <c r="A58" s="276"/>
      <c r="B58" s="276"/>
      <c r="C58" s="276"/>
      <c r="D58" s="299"/>
      <c r="E58" s="147" t="s">
        <v>539</v>
      </c>
      <c r="F58" s="154" t="s">
        <v>540</v>
      </c>
      <c r="G58" s="34">
        <f t="shared" si="0"/>
        <v>6000</v>
      </c>
      <c r="H58" s="34">
        <v>6000</v>
      </c>
      <c r="I58" s="34"/>
      <c r="J58" s="34"/>
    </row>
    <row r="59" spans="1:10" ht="93">
      <c r="A59" s="295"/>
      <c r="B59" s="295"/>
      <c r="C59" s="295"/>
      <c r="D59" s="282"/>
      <c r="E59" s="144" t="s">
        <v>541</v>
      </c>
      <c r="F59" s="149" t="s">
        <v>650</v>
      </c>
      <c r="G59" s="34">
        <f t="shared" si="0"/>
        <v>495000</v>
      </c>
      <c r="H59" s="34">
        <f>300000+195000</f>
        <v>495000</v>
      </c>
      <c r="I59" s="34"/>
      <c r="J59" s="34"/>
    </row>
    <row r="60" spans="1:10" ht="93">
      <c r="A60" s="295"/>
      <c r="B60" s="295"/>
      <c r="C60" s="295"/>
      <c r="D60" s="282"/>
      <c r="E60" s="144" t="s">
        <v>542</v>
      </c>
      <c r="F60" s="149" t="s">
        <v>543</v>
      </c>
      <c r="G60" s="34">
        <f>H60</f>
        <v>91204</v>
      </c>
      <c r="H60" s="34">
        <f>91204</f>
        <v>91204</v>
      </c>
      <c r="I60" s="34"/>
      <c r="J60" s="34"/>
    </row>
    <row r="61" spans="1:10" ht="93">
      <c r="A61" s="295"/>
      <c r="B61" s="295"/>
      <c r="C61" s="295"/>
      <c r="D61" s="282"/>
      <c r="E61" s="144" t="s">
        <v>524</v>
      </c>
      <c r="F61" s="149" t="s">
        <v>525</v>
      </c>
      <c r="G61" s="34">
        <f t="shared" si="0"/>
        <v>856628</v>
      </c>
      <c r="H61" s="34">
        <f>456628-300000+700000</f>
        <v>856628</v>
      </c>
      <c r="I61" s="34"/>
      <c r="J61" s="34"/>
    </row>
    <row r="62" spans="1:10" ht="85.5" customHeight="1">
      <c r="A62" s="295"/>
      <c r="B62" s="295"/>
      <c r="C62" s="295"/>
      <c r="D62" s="282"/>
      <c r="E62" s="152" t="s">
        <v>544</v>
      </c>
      <c r="F62" s="154" t="s">
        <v>651</v>
      </c>
      <c r="G62" s="34">
        <f t="shared" si="0"/>
        <v>643537</v>
      </c>
      <c r="H62" s="34">
        <f>90000+495127+58410</f>
        <v>643537</v>
      </c>
      <c r="I62" s="34"/>
      <c r="J62" s="34"/>
    </row>
    <row r="63" spans="1:10" ht="93">
      <c r="A63" s="143" t="s">
        <v>111</v>
      </c>
      <c r="B63" s="150">
        <v>8210</v>
      </c>
      <c r="C63" s="143" t="s">
        <v>113</v>
      </c>
      <c r="D63" s="144" t="s">
        <v>114</v>
      </c>
      <c r="E63" s="147" t="s">
        <v>545</v>
      </c>
      <c r="F63" s="149" t="s">
        <v>652</v>
      </c>
      <c r="G63" s="34">
        <f t="shared" si="0"/>
        <v>2611503</v>
      </c>
      <c r="H63" s="34">
        <f>2497345+62500+51658</f>
        <v>2611503</v>
      </c>
      <c r="I63" s="34"/>
      <c r="J63" s="34"/>
    </row>
    <row r="64" spans="1:10" ht="78">
      <c r="A64" s="143" t="s">
        <v>115</v>
      </c>
      <c r="B64" s="143" t="s">
        <v>116</v>
      </c>
      <c r="C64" s="143" t="s">
        <v>117</v>
      </c>
      <c r="D64" s="147" t="s">
        <v>118</v>
      </c>
      <c r="E64" s="152" t="s">
        <v>546</v>
      </c>
      <c r="F64" s="154" t="s">
        <v>547</v>
      </c>
      <c r="G64" s="34">
        <f t="shared" si="0"/>
        <v>925958</v>
      </c>
      <c r="H64" s="34"/>
      <c r="I64" s="34">
        <f>212000+713958</f>
        <v>925958</v>
      </c>
      <c r="J64" s="34"/>
    </row>
    <row r="65" spans="1:10" ht="78">
      <c r="A65" s="143" t="s">
        <v>119</v>
      </c>
      <c r="B65" s="143" t="s">
        <v>120</v>
      </c>
      <c r="C65" s="143" t="s">
        <v>121</v>
      </c>
      <c r="D65" s="144" t="s">
        <v>122</v>
      </c>
      <c r="E65" s="144" t="s">
        <v>548</v>
      </c>
      <c r="F65" s="149" t="s">
        <v>549</v>
      </c>
      <c r="G65" s="34">
        <f t="shared" si="0"/>
        <v>749450</v>
      </c>
      <c r="H65" s="34">
        <v>749450</v>
      </c>
      <c r="I65" s="34"/>
      <c r="J65" s="34"/>
    </row>
    <row r="66" spans="1:10" ht="99.75" customHeight="1">
      <c r="A66" s="143" t="s">
        <v>123</v>
      </c>
      <c r="B66" s="143" t="s">
        <v>124</v>
      </c>
      <c r="C66" s="143" t="s">
        <v>121</v>
      </c>
      <c r="D66" s="155" t="s">
        <v>125</v>
      </c>
      <c r="E66" s="144" t="s">
        <v>537</v>
      </c>
      <c r="F66" s="139" t="s">
        <v>538</v>
      </c>
      <c r="G66" s="34">
        <f t="shared" si="0"/>
        <v>1070455</v>
      </c>
      <c r="H66" s="34">
        <v>1070455</v>
      </c>
      <c r="I66" s="34"/>
      <c r="J66" s="34"/>
    </row>
    <row r="67" spans="1:10" ht="45.75" customHeight="1">
      <c r="A67" s="141" t="s">
        <v>126</v>
      </c>
      <c r="B67" s="143"/>
      <c r="C67" s="146"/>
      <c r="D67" s="156" t="s">
        <v>550</v>
      </c>
      <c r="E67" s="152"/>
      <c r="F67" s="139"/>
      <c r="G67" s="36">
        <f>G68</f>
        <v>28331311</v>
      </c>
      <c r="H67" s="36">
        <f>H68</f>
        <v>15713030</v>
      </c>
      <c r="I67" s="36">
        <f>I68</f>
        <v>12618281</v>
      </c>
      <c r="J67" s="36">
        <f>J68</f>
        <v>5962567</v>
      </c>
    </row>
    <row r="68" spans="1:10" ht="48.75" customHeight="1">
      <c r="A68" s="141" t="s">
        <v>128</v>
      </c>
      <c r="B68" s="143"/>
      <c r="C68" s="146"/>
      <c r="D68" s="156" t="s">
        <v>550</v>
      </c>
      <c r="E68" s="152"/>
      <c r="F68" s="139"/>
      <c r="G68" s="36">
        <f>H68+I68</f>
        <v>28331311</v>
      </c>
      <c r="H68" s="36">
        <f>SUM(H69:H84)</f>
        <v>15713030</v>
      </c>
      <c r="I68" s="36">
        <f>SUM(I69:I84)</f>
        <v>12618281</v>
      </c>
      <c r="J68" s="36">
        <f>SUM(J69:J84)</f>
        <v>5962567</v>
      </c>
    </row>
    <row r="69" spans="1:10" ht="93">
      <c r="A69" s="143" t="s">
        <v>129</v>
      </c>
      <c r="B69" s="143" t="s">
        <v>130</v>
      </c>
      <c r="C69" s="143" t="s">
        <v>35</v>
      </c>
      <c r="D69" s="147" t="s">
        <v>131</v>
      </c>
      <c r="E69" s="144" t="s">
        <v>537</v>
      </c>
      <c r="F69" s="139" t="s">
        <v>538</v>
      </c>
      <c r="G69" s="34">
        <f>H69+I69</f>
        <v>13000</v>
      </c>
      <c r="H69" s="34"/>
      <c r="I69" s="34">
        <f>J69</f>
        <v>13000</v>
      </c>
      <c r="J69" s="34">
        <v>13000</v>
      </c>
    </row>
    <row r="70" spans="1:10" ht="110.25" customHeight="1">
      <c r="A70" s="276" t="s">
        <v>132</v>
      </c>
      <c r="B70" s="276" t="s">
        <v>133</v>
      </c>
      <c r="C70" s="285" t="s">
        <v>134</v>
      </c>
      <c r="D70" s="282" t="s">
        <v>135</v>
      </c>
      <c r="E70" s="152" t="s">
        <v>551</v>
      </c>
      <c r="F70" s="149" t="s">
        <v>552</v>
      </c>
      <c r="G70" s="34">
        <f aca="true" t="shared" si="2" ref="G70:G82">H70+I70</f>
        <v>9005335</v>
      </c>
      <c r="H70" s="34">
        <f>3688410+175500+2800</f>
        <v>3866710</v>
      </c>
      <c r="I70" s="34">
        <f>4900875+J70+225750</f>
        <v>5138625</v>
      </c>
      <c r="J70" s="34">
        <f>12000</f>
        <v>12000</v>
      </c>
    </row>
    <row r="71" spans="1:10" ht="90.75" customHeight="1">
      <c r="A71" s="295"/>
      <c r="B71" s="295"/>
      <c r="C71" s="287"/>
      <c r="D71" s="282"/>
      <c r="E71" s="152" t="s">
        <v>553</v>
      </c>
      <c r="F71" s="149" t="s">
        <v>554</v>
      </c>
      <c r="G71" s="34">
        <f t="shared" si="2"/>
        <v>131078</v>
      </c>
      <c r="H71" s="34">
        <f>123146+7932</f>
        <v>131078</v>
      </c>
      <c r="I71" s="34"/>
      <c r="J71" s="34"/>
    </row>
    <row r="72" spans="1:10" ht="90.75" customHeight="1">
      <c r="A72" s="276" t="s">
        <v>136</v>
      </c>
      <c r="B72" s="276" t="s">
        <v>137</v>
      </c>
      <c r="C72" s="276" t="s">
        <v>138</v>
      </c>
      <c r="D72" s="299" t="s">
        <v>340</v>
      </c>
      <c r="E72" s="144" t="s">
        <v>555</v>
      </c>
      <c r="F72" s="149" t="s">
        <v>556</v>
      </c>
      <c r="G72" s="34">
        <f t="shared" si="2"/>
        <v>365148</v>
      </c>
      <c r="H72" s="34">
        <f>292950+26460+37800</f>
        <v>357210</v>
      </c>
      <c r="I72" s="34">
        <v>7938</v>
      </c>
      <c r="J72" s="34"/>
    </row>
    <row r="73" spans="1:10" ht="93" customHeight="1">
      <c r="A73" s="297"/>
      <c r="B73" s="297"/>
      <c r="C73" s="297"/>
      <c r="D73" s="282"/>
      <c r="E73" s="152" t="s">
        <v>551</v>
      </c>
      <c r="F73" s="149" t="s">
        <v>552</v>
      </c>
      <c r="G73" s="34">
        <f t="shared" si="2"/>
        <v>10711826</v>
      </c>
      <c r="H73" s="34">
        <f>6632110+697533+50000+3568+304820+50000+1380210+34340+38094</f>
        <v>9190675</v>
      </c>
      <c r="I73" s="34">
        <f>1308991+J73+212160</f>
        <v>1521151</v>
      </c>
      <c r="J73" s="34"/>
    </row>
    <row r="74" spans="1:10" ht="84.75" customHeight="1">
      <c r="A74" s="297"/>
      <c r="B74" s="297"/>
      <c r="C74" s="297"/>
      <c r="D74" s="282"/>
      <c r="E74" s="152" t="s">
        <v>553</v>
      </c>
      <c r="F74" s="149" t="s">
        <v>554</v>
      </c>
      <c r="G74" s="34">
        <f t="shared" si="2"/>
        <v>1821289</v>
      </c>
      <c r="H74" s="34">
        <f>1768928+5200+20376+4250+935+21600</f>
        <v>1821289</v>
      </c>
      <c r="I74" s="34"/>
      <c r="J74" s="34"/>
    </row>
    <row r="75" spans="1:10" ht="78">
      <c r="A75" s="276" t="s">
        <v>145</v>
      </c>
      <c r="B75" s="276" t="s">
        <v>73</v>
      </c>
      <c r="C75" s="276" t="s">
        <v>146</v>
      </c>
      <c r="D75" s="294" t="s">
        <v>341</v>
      </c>
      <c r="E75" s="152" t="s">
        <v>553</v>
      </c>
      <c r="F75" s="149" t="s">
        <v>554</v>
      </c>
      <c r="G75" s="34">
        <f t="shared" si="2"/>
        <v>8002</v>
      </c>
      <c r="H75" s="34">
        <v>8002</v>
      </c>
      <c r="I75" s="34"/>
      <c r="J75" s="34"/>
    </row>
    <row r="76" spans="1:10" ht="93">
      <c r="A76" s="283"/>
      <c r="B76" s="283"/>
      <c r="C76" s="283"/>
      <c r="D76" s="292"/>
      <c r="E76" s="152" t="s">
        <v>551</v>
      </c>
      <c r="F76" s="149" t="s">
        <v>552</v>
      </c>
      <c r="G76" s="34">
        <f t="shared" si="2"/>
        <v>46384</v>
      </c>
      <c r="H76" s="34">
        <f>35265+11119</f>
        <v>46384</v>
      </c>
      <c r="I76" s="34"/>
      <c r="J76" s="34"/>
    </row>
    <row r="77" spans="1:10" ht="78">
      <c r="A77" s="143" t="s">
        <v>147</v>
      </c>
      <c r="B77" s="143" t="s">
        <v>148</v>
      </c>
      <c r="C77" s="143" t="s">
        <v>149</v>
      </c>
      <c r="D77" s="147" t="s">
        <v>342</v>
      </c>
      <c r="E77" s="152" t="s">
        <v>553</v>
      </c>
      <c r="F77" s="149" t="s">
        <v>554</v>
      </c>
      <c r="G77" s="34">
        <f t="shared" si="2"/>
        <v>350</v>
      </c>
      <c r="H77" s="34">
        <v>350</v>
      </c>
      <c r="I77" s="34"/>
      <c r="J77" s="34"/>
    </row>
    <row r="78" spans="1:10" ht="93">
      <c r="A78" s="143" t="s">
        <v>150</v>
      </c>
      <c r="B78" s="143" t="s">
        <v>151</v>
      </c>
      <c r="C78" s="143" t="s">
        <v>149</v>
      </c>
      <c r="D78" s="147" t="s">
        <v>152</v>
      </c>
      <c r="E78" s="152" t="s">
        <v>551</v>
      </c>
      <c r="F78" s="149" t="s">
        <v>552</v>
      </c>
      <c r="G78" s="34">
        <f>H78+I78</f>
        <v>35000</v>
      </c>
      <c r="H78" s="34"/>
      <c r="I78" s="34">
        <f>J78</f>
        <v>35000</v>
      </c>
      <c r="J78" s="34">
        <v>35000</v>
      </c>
    </row>
    <row r="79" spans="1:10" ht="78">
      <c r="A79" s="143" t="s">
        <v>156</v>
      </c>
      <c r="B79" s="143" t="s">
        <v>157</v>
      </c>
      <c r="C79" s="143" t="s">
        <v>149</v>
      </c>
      <c r="D79" s="27" t="s">
        <v>158</v>
      </c>
      <c r="E79" s="152" t="s">
        <v>557</v>
      </c>
      <c r="F79" s="149" t="s">
        <v>558</v>
      </c>
      <c r="G79" s="34">
        <f t="shared" si="2"/>
        <v>255140</v>
      </c>
      <c r="H79" s="34">
        <v>255140</v>
      </c>
      <c r="I79" s="34"/>
      <c r="J79" s="34"/>
    </row>
    <row r="80" spans="1:10" ht="81" customHeight="1">
      <c r="A80" s="143" t="s">
        <v>366</v>
      </c>
      <c r="B80" s="143" t="s">
        <v>367</v>
      </c>
      <c r="C80" s="143" t="s">
        <v>368</v>
      </c>
      <c r="D80" s="147" t="s">
        <v>369</v>
      </c>
      <c r="E80" s="153" t="s">
        <v>522</v>
      </c>
      <c r="F80" s="149" t="s">
        <v>559</v>
      </c>
      <c r="G80" s="34">
        <f t="shared" si="2"/>
        <v>2880</v>
      </c>
      <c r="H80" s="34">
        <v>2880</v>
      </c>
      <c r="I80" s="34"/>
      <c r="J80" s="34"/>
    </row>
    <row r="81" spans="1:10" ht="93">
      <c r="A81" s="276" t="s">
        <v>159</v>
      </c>
      <c r="B81" s="276" t="s">
        <v>160</v>
      </c>
      <c r="C81" s="276" t="s">
        <v>161</v>
      </c>
      <c r="D81" s="294" t="s">
        <v>162</v>
      </c>
      <c r="E81" s="152" t="s">
        <v>551</v>
      </c>
      <c r="F81" s="149" t="s">
        <v>552</v>
      </c>
      <c r="G81" s="34">
        <f t="shared" si="2"/>
        <v>33265</v>
      </c>
      <c r="H81" s="34">
        <v>23265</v>
      </c>
      <c r="I81" s="34">
        <f>J81</f>
        <v>10000</v>
      </c>
      <c r="J81" s="34">
        <v>10000</v>
      </c>
    </row>
    <row r="82" spans="1:10" ht="78">
      <c r="A82" s="295"/>
      <c r="B82" s="295"/>
      <c r="C82" s="295"/>
      <c r="D82" s="294"/>
      <c r="E82" s="152" t="s">
        <v>553</v>
      </c>
      <c r="F82" s="149" t="s">
        <v>554</v>
      </c>
      <c r="G82" s="34">
        <f t="shared" si="2"/>
        <v>10047</v>
      </c>
      <c r="H82" s="34">
        <v>10047</v>
      </c>
      <c r="I82" s="34"/>
      <c r="J82" s="34"/>
    </row>
    <row r="83" spans="1:10" ht="93">
      <c r="A83" s="143" t="s">
        <v>344</v>
      </c>
      <c r="B83" s="143" t="s">
        <v>345</v>
      </c>
      <c r="C83" s="143" t="s">
        <v>99</v>
      </c>
      <c r="D83" s="147" t="s">
        <v>346</v>
      </c>
      <c r="E83" s="152" t="s">
        <v>551</v>
      </c>
      <c r="F83" s="149" t="s">
        <v>552</v>
      </c>
      <c r="G83" s="34">
        <f>H83+I83</f>
        <v>5892567</v>
      </c>
      <c r="H83" s="34"/>
      <c r="I83" s="34">
        <f>J83</f>
        <v>5892567</v>
      </c>
      <c r="J83" s="34">
        <f>3545137+251261+46683+2049486</f>
        <v>5892567</v>
      </c>
    </row>
    <row r="84" spans="1:10" ht="78" hidden="1">
      <c r="A84" s="143" t="s">
        <v>312</v>
      </c>
      <c r="B84" s="143" t="s">
        <v>313</v>
      </c>
      <c r="C84" s="143" t="s">
        <v>100</v>
      </c>
      <c r="D84" s="147" t="s">
        <v>314</v>
      </c>
      <c r="E84" s="148" t="s">
        <v>532</v>
      </c>
      <c r="F84" s="154" t="s">
        <v>533</v>
      </c>
      <c r="G84" s="34">
        <f>H84+I84</f>
        <v>0</v>
      </c>
      <c r="H84" s="34"/>
      <c r="I84" s="34">
        <f>J84</f>
        <v>0</v>
      </c>
      <c r="J84" s="34">
        <f>597771-597771</f>
        <v>0</v>
      </c>
    </row>
    <row r="85" spans="1:10" ht="33.75" customHeight="1">
      <c r="A85" s="141" t="s">
        <v>163</v>
      </c>
      <c r="B85" s="157"/>
      <c r="C85" s="146"/>
      <c r="D85" s="156" t="s">
        <v>164</v>
      </c>
      <c r="E85" s="152"/>
      <c r="F85" s="139"/>
      <c r="G85" s="36">
        <f>G86</f>
        <v>6264644</v>
      </c>
      <c r="H85" s="36">
        <f>H86</f>
        <v>6213184</v>
      </c>
      <c r="I85" s="36">
        <f>I86</f>
        <v>51460</v>
      </c>
      <c r="J85" s="36">
        <f>J86</f>
        <v>51460</v>
      </c>
    </row>
    <row r="86" spans="1:10" ht="30.75">
      <c r="A86" s="141" t="s">
        <v>165</v>
      </c>
      <c r="B86" s="157"/>
      <c r="C86" s="146"/>
      <c r="D86" s="156" t="s">
        <v>164</v>
      </c>
      <c r="E86" s="152"/>
      <c r="F86" s="139"/>
      <c r="G86" s="36">
        <f>SUM(G87:G100)</f>
        <v>6264644</v>
      </c>
      <c r="H86" s="36">
        <f>SUM(H87:H100)</f>
        <v>6213184</v>
      </c>
      <c r="I86" s="36">
        <f>SUM(I87:I100)</f>
        <v>51460</v>
      </c>
      <c r="J86" s="36">
        <f>SUM(J87:J100)</f>
        <v>51460</v>
      </c>
    </row>
    <row r="87" spans="1:10" ht="30.75">
      <c r="A87" s="143" t="s">
        <v>276</v>
      </c>
      <c r="B87" s="143" t="s">
        <v>277</v>
      </c>
      <c r="C87" s="143" t="s">
        <v>69</v>
      </c>
      <c r="D87" s="147" t="s">
        <v>278</v>
      </c>
      <c r="E87" s="290" t="s">
        <v>511</v>
      </c>
      <c r="F87" s="287" t="s">
        <v>512</v>
      </c>
      <c r="G87" s="34">
        <f>H87+I87</f>
        <v>22260</v>
      </c>
      <c r="H87" s="34">
        <v>22260</v>
      </c>
      <c r="I87" s="34"/>
      <c r="J87" s="34"/>
    </row>
    <row r="88" spans="1:10" ht="30.75">
      <c r="A88" s="143" t="s">
        <v>279</v>
      </c>
      <c r="B88" s="143" t="s">
        <v>280</v>
      </c>
      <c r="C88" s="143" t="s">
        <v>281</v>
      </c>
      <c r="D88" s="147" t="s">
        <v>282</v>
      </c>
      <c r="E88" s="259"/>
      <c r="F88" s="291"/>
      <c r="G88" s="34">
        <f aca="true" t="shared" si="3" ref="G88:G100">H88+I88</f>
        <v>155360</v>
      </c>
      <c r="H88" s="34">
        <v>155360</v>
      </c>
      <c r="I88" s="34"/>
      <c r="J88" s="34"/>
    </row>
    <row r="89" spans="1:10" ht="39.75" customHeight="1">
      <c r="A89" s="143" t="s">
        <v>283</v>
      </c>
      <c r="B89" s="143" t="s">
        <v>284</v>
      </c>
      <c r="C89" s="143" t="s">
        <v>281</v>
      </c>
      <c r="D89" s="147" t="s">
        <v>285</v>
      </c>
      <c r="E89" s="259"/>
      <c r="F89" s="291"/>
      <c r="G89" s="34">
        <f t="shared" si="3"/>
        <v>2800000</v>
      </c>
      <c r="H89" s="34">
        <v>2800000</v>
      </c>
      <c r="I89" s="34"/>
      <c r="J89" s="34"/>
    </row>
    <row r="90" spans="1:10" ht="49.5" customHeight="1">
      <c r="A90" s="143" t="s">
        <v>286</v>
      </c>
      <c r="B90" s="143" t="s">
        <v>287</v>
      </c>
      <c r="C90" s="143" t="s">
        <v>281</v>
      </c>
      <c r="D90" s="147" t="s">
        <v>288</v>
      </c>
      <c r="E90" s="259"/>
      <c r="F90" s="291"/>
      <c r="G90" s="34">
        <f t="shared" si="3"/>
        <v>153000</v>
      </c>
      <c r="H90" s="34">
        <v>153000</v>
      </c>
      <c r="I90" s="34"/>
      <c r="J90" s="34"/>
    </row>
    <row r="91" spans="1:10" ht="81" customHeight="1">
      <c r="A91" s="143" t="s">
        <v>173</v>
      </c>
      <c r="B91" s="143" t="s">
        <v>174</v>
      </c>
      <c r="C91" s="143" t="s">
        <v>65</v>
      </c>
      <c r="D91" s="147" t="s">
        <v>175</v>
      </c>
      <c r="E91" s="298" t="s">
        <v>560</v>
      </c>
      <c r="F91" s="293" t="s">
        <v>653</v>
      </c>
      <c r="G91" s="34">
        <f t="shared" si="3"/>
        <v>620642</v>
      </c>
      <c r="H91" s="34">
        <f>605597+15045</f>
        <v>620642</v>
      </c>
      <c r="I91" s="34"/>
      <c r="J91" s="34"/>
    </row>
    <row r="92" spans="1:10" ht="24" customHeight="1">
      <c r="A92" s="143" t="s">
        <v>176</v>
      </c>
      <c r="B92" s="143" t="s">
        <v>177</v>
      </c>
      <c r="C92" s="143" t="s">
        <v>65</v>
      </c>
      <c r="D92" s="144" t="s">
        <v>561</v>
      </c>
      <c r="E92" s="292"/>
      <c r="F92" s="291"/>
      <c r="G92" s="34">
        <f t="shared" si="3"/>
        <v>5000</v>
      </c>
      <c r="H92" s="34">
        <v>5000</v>
      </c>
      <c r="I92" s="34"/>
      <c r="J92" s="34"/>
    </row>
    <row r="93" spans="1:10" ht="78">
      <c r="A93" s="143" t="s">
        <v>289</v>
      </c>
      <c r="B93" s="143" t="s">
        <v>290</v>
      </c>
      <c r="C93" s="143" t="s">
        <v>133</v>
      </c>
      <c r="D93" s="144" t="s">
        <v>562</v>
      </c>
      <c r="E93" s="290" t="s">
        <v>511</v>
      </c>
      <c r="F93" s="287" t="s">
        <v>512</v>
      </c>
      <c r="G93" s="34">
        <f t="shared" si="3"/>
        <v>606834</v>
      </c>
      <c r="H93" s="34">
        <v>606834</v>
      </c>
      <c r="I93" s="34"/>
      <c r="J93" s="34"/>
    </row>
    <row r="94" spans="1:10" ht="62.25">
      <c r="A94" s="143" t="s">
        <v>292</v>
      </c>
      <c r="B94" s="143" t="s">
        <v>293</v>
      </c>
      <c r="C94" s="143" t="s">
        <v>294</v>
      </c>
      <c r="D94" s="147" t="s">
        <v>563</v>
      </c>
      <c r="E94" s="259"/>
      <c r="F94" s="291"/>
      <c r="G94" s="34">
        <f t="shared" si="3"/>
        <v>310166</v>
      </c>
      <c r="H94" s="34">
        <v>310166</v>
      </c>
      <c r="I94" s="34"/>
      <c r="J94" s="34"/>
    </row>
    <row r="95" spans="1:10" ht="30.75">
      <c r="A95" s="143" t="s">
        <v>296</v>
      </c>
      <c r="B95" s="143" t="s">
        <v>68</v>
      </c>
      <c r="C95" s="143" t="s">
        <v>69</v>
      </c>
      <c r="D95" s="147" t="s">
        <v>70</v>
      </c>
      <c r="E95" s="259"/>
      <c r="F95" s="291"/>
      <c r="G95" s="34">
        <f t="shared" si="3"/>
        <v>303324</v>
      </c>
      <c r="H95" s="34">
        <f>253324+50000</f>
        <v>303324</v>
      </c>
      <c r="I95" s="34"/>
      <c r="J95" s="34"/>
    </row>
    <row r="96" spans="1:10" ht="46.5">
      <c r="A96" s="143" t="s">
        <v>297</v>
      </c>
      <c r="B96" s="143" t="s">
        <v>298</v>
      </c>
      <c r="C96" s="143" t="s">
        <v>69</v>
      </c>
      <c r="D96" s="147" t="s">
        <v>564</v>
      </c>
      <c r="E96" s="259"/>
      <c r="F96" s="291"/>
      <c r="G96" s="34">
        <f t="shared" si="3"/>
        <v>400000</v>
      </c>
      <c r="H96" s="34">
        <f>300000+100000</f>
        <v>400000</v>
      </c>
      <c r="I96" s="34"/>
      <c r="J96" s="34"/>
    </row>
    <row r="97" spans="1:10" ht="87.75" customHeight="1">
      <c r="A97" s="143" t="s">
        <v>390</v>
      </c>
      <c r="B97" s="143" t="s">
        <v>367</v>
      </c>
      <c r="C97" s="143" t="s">
        <v>368</v>
      </c>
      <c r="D97" s="147" t="s">
        <v>369</v>
      </c>
      <c r="E97" s="153" t="s">
        <v>522</v>
      </c>
      <c r="F97" s="149" t="s">
        <v>559</v>
      </c>
      <c r="G97" s="34">
        <f t="shared" si="3"/>
        <v>11520</v>
      </c>
      <c r="H97" s="34">
        <v>11520</v>
      </c>
      <c r="I97" s="34"/>
      <c r="J97" s="34"/>
    </row>
    <row r="98" spans="1:10" ht="48" customHeight="1">
      <c r="A98" s="143" t="s">
        <v>300</v>
      </c>
      <c r="B98" s="143" t="s">
        <v>72</v>
      </c>
      <c r="C98" s="146" t="s">
        <v>73</v>
      </c>
      <c r="D98" s="158" t="s">
        <v>565</v>
      </c>
      <c r="E98" s="292" t="s">
        <v>511</v>
      </c>
      <c r="F98" s="293" t="s">
        <v>512</v>
      </c>
      <c r="G98" s="34">
        <f t="shared" si="3"/>
        <v>789380</v>
      </c>
      <c r="H98" s="34">
        <v>789380</v>
      </c>
      <c r="I98" s="34"/>
      <c r="J98" s="34"/>
    </row>
    <row r="99" spans="1:10" ht="57.75" customHeight="1">
      <c r="A99" s="143" t="s">
        <v>389</v>
      </c>
      <c r="B99" s="143" t="s">
        <v>258</v>
      </c>
      <c r="C99" s="143" t="s">
        <v>99</v>
      </c>
      <c r="D99" s="147" t="s">
        <v>338</v>
      </c>
      <c r="E99" s="259"/>
      <c r="F99" s="291"/>
      <c r="G99" s="34">
        <f>H99+I99</f>
        <v>51460</v>
      </c>
      <c r="H99" s="34"/>
      <c r="I99" s="34">
        <f>J99</f>
        <v>51460</v>
      </c>
      <c r="J99" s="34">
        <v>51460</v>
      </c>
    </row>
    <row r="100" spans="1:10" ht="93">
      <c r="A100" s="143" t="s">
        <v>301</v>
      </c>
      <c r="B100" s="143" t="s">
        <v>109</v>
      </c>
      <c r="C100" s="143" t="s">
        <v>100</v>
      </c>
      <c r="D100" s="147" t="s">
        <v>110</v>
      </c>
      <c r="E100" s="152" t="s">
        <v>566</v>
      </c>
      <c r="F100" s="154" t="s">
        <v>567</v>
      </c>
      <c r="G100" s="34">
        <f t="shared" si="3"/>
        <v>35698</v>
      </c>
      <c r="H100" s="34">
        <v>35698</v>
      </c>
      <c r="I100" s="34"/>
      <c r="J100" s="34"/>
    </row>
    <row r="101" spans="1:10" ht="15">
      <c r="A101" s="141" t="s">
        <v>179</v>
      </c>
      <c r="B101" s="157"/>
      <c r="C101" s="146"/>
      <c r="D101" s="159" t="s">
        <v>568</v>
      </c>
      <c r="E101" s="147"/>
      <c r="F101" s="139"/>
      <c r="G101" s="36">
        <f>G102</f>
        <v>3524071</v>
      </c>
      <c r="H101" s="36">
        <f>H102</f>
        <v>1510497</v>
      </c>
      <c r="I101" s="36">
        <f>I102</f>
        <v>2013574</v>
      </c>
      <c r="J101" s="36">
        <f>J102</f>
        <v>2013574</v>
      </c>
    </row>
    <row r="102" spans="1:10" ht="15">
      <c r="A102" s="141" t="s">
        <v>181</v>
      </c>
      <c r="B102" s="157"/>
      <c r="C102" s="146"/>
      <c r="D102" s="159" t="s">
        <v>568</v>
      </c>
      <c r="E102" s="147"/>
      <c r="F102" s="139"/>
      <c r="G102" s="36">
        <f aca="true" t="shared" si="4" ref="G102:G109">H102+I102</f>
        <v>3524071</v>
      </c>
      <c r="H102" s="36">
        <f>SUM(H103:H110)</f>
        <v>1510497</v>
      </c>
      <c r="I102" s="36">
        <f>SUM(I103:I110)</f>
        <v>2013574</v>
      </c>
      <c r="J102" s="36">
        <f>SUM(J103:J110)</f>
        <v>2013574</v>
      </c>
    </row>
    <row r="103" spans="1:10" ht="15">
      <c r="A103" s="143" t="s">
        <v>185</v>
      </c>
      <c r="B103" s="143" t="s">
        <v>186</v>
      </c>
      <c r="C103" s="143" t="s">
        <v>187</v>
      </c>
      <c r="D103" s="147" t="s">
        <v>188</v>
      </c>
      <c r="E103" s="303" t="s">
        <v>569</v>
      </c>
      <c r="F103" s="306" t="s">
        <v>570</v>
      </c>
      <c r="G103" s="34">
        <f t="shared" si="4"/>
        <v>50419</v>
      </c>
      <c r="H103" s="34">
        <f>50419-40000</f>
        <v>10419</v>
      </c>
      <c r="I103" s="34">
        <f>J103</f>
        <v>40000</v>
      </c>
      <c r="J103" s="34">
        <v>40000</v>
      </c>
    </row>
    <row r="104" spans="1:10" ht="15">
      <c r="A104" s="143" t="s">
        <v>189</v>
      </c>
      <c r="B104" s="143" t="s">
        <v>190</v>
      </c>
      <c r="C104" s="143" t="s">
        <v>187</v>
      </c>
      <c r="D104" s="147" t="s">
        <v>191</v>
      </c>
      <c r="E104" s="304"/>
      <c r="F104" s="262"/>
      <c r="G104" s="34">
        <f t="shared" si="4"/>
        <v>22561</v>
      </c>
      <c r="H104" s="34">
        <v>22561</v>
      </c>
      <c r="I104" s="34"/>
      <c r="J104" s="34"/>
    </row>
    <row r="105" spans="1:10" ht="30.75">
      <c r="A105" s="143" t="s">
        <v>192</v>
      </c>
      <c r="B105" s="143" t="s">
        <v>193</v>
      </c>
      <c r="C105" s="143" t="s">
        <v>194</v>
      </c>
      <c r="D105" s="144" t="s">
        <v>195</v>
      </c>
      <c r="E105" s="305"/>
      <c r="F105" s="263"/>
      <c r="G105" s="34">
        <f t="shared" si="4"/>
        <v>895104</v>
      </c>
      <c r="H105" s="34">
        <f>19422</f>
        <v>19422</v>
      </c>
      <c r="I105" s="34">
        <f>J105</f>
        <v>875682</v>
      </c>
      <c r="J105" s="34">
        <f>845082+30600</f>
        <v>875682</v>
      </c>
    </row>
    <row r="106" spans="1:10" ht="93">
      <c r="A106" s="276" t="s">
        <v>200</v>
      </c>
      <c r="B106" s="295">
        <v>4082</v>
      </c>
      <c r="C106" s="285" t="s">
        <v>198</v>
      </c>
      <c r="D106" s="296" t="s">
        <v>202</v>
      </c>
      <c r="E106" s="144" t="s">
        <v>569</v>
      </c>
      <c r="F106" s="149" t="s">
        <v>570</v>
      </c>
      <c r="G106" s="34">
        <f t="shared" si="4"/>
        <v>1105850</v>
      </c>
      <c r="H106" s="34">
        <v>1105850</v>
      </c>
      <c r="I106" s="34"/>
      <c r="J106" s="34"/>
    </row>
    <row r="107" spans="1:10" ht="93">
      <c r="A107" s="276"/>
      <c r="B107" s="295"/>
      <c r="C107" s="287"/>
      <c r="D107" s="296"/>
      <c r="E107" s="144" t="s">
        <v>541</v>
      </c>
      <c r="F107" s="149" t="s">
        <v>650</v>
      </c>
      <c r="G107" s="34">
        <f t="shared" si="4"/>
        <v>192245</v>
      </c>
      <c r="H107" s="34">
        <f>145000+47245</f>
        <v>192245</v>
      </c>
      <c r="I107" s="34"/>
      <c r="J107" s="34"/>
    </row>
    <row r="108" spans="1:10" ht="27" customHeight="1">
      <c r="A108" s="143" t="s">
        <v>370</v>
      </c>
      <c r="B108" s="143" t="s">
        <v>371</v>
      </c>
      <c r="C108" s="143" t="s">
        <v>99</v>
      </c>
      <c r="D108" s="147" t="s">
        <v>372</v>
      </c>
      <c r="E108" s="303" t="s">
        <v>569</v>
      </c>
      <c r="F108" s="306" t="s">
        <v>570</v>
      </c>
      <c r="G108" s="34">
        <f t="shared" si="4"/>
        <v>897892</v>
      </c>
      <c r="H108" s="34"/>
      <c r="I108" s="34">
        <f>J108</f>
        <v>897892</v>
      </c>
      <c r="J108" s="34">
        <f>297892+600000</f>
        <v>897892</v>
      </c>
    </row>
    <row r="109" spans="1:10" ht="42.75" customHeight="1">
      <c r="A109" s="143" t="s">
        <v>373</v>
      </c>
      <c r="B109" s="143" t="s">
        <v>374</v>
      </c>
      <c r="C109" s="143" t="s">
        <v>99</v>
      </c>
      <c r="D109" s="147" t="s">
        <v>375</v>
      </c>
      <c r="E109" s="304"/>
      <c r="F109" s="262"/>
      <c r="G109" s="34">
        <f t="shared" si="4"/>
        <v>200000</v>
      </c>
      <c r="H109" s="34"/>
      <c r="I109" s="34">
        <f>J109</f>
        <v>200000</v>
      </c>
      <c r="J109" s="34">
        <f>200000</f>
        <v>200000</v>
      </c>
    </row>
    <row r="110" spans="1:10" ht="30.75" customHeight="1">
      <c r="A110" s="143" t="s">
        <v>203</v>
      </c>
      <c r="B110" s="150">
        <v>7622</v>
      </c>
      <c r="C110" s="146" t="s">
        <v>205</v>
      </c>
      <c r="D110" s="158" t="s">
        <v>571</v>
      </c>
      <c r="E110" s="305"/>
      <c r="F110" s="263"/>
      <c r="G110" s="34">
        <f>H110</f>
        <v>160000</v>
      </c>
      <c r="H110" s="34">
        <f>80000+80000</f>
        <v>160000</v>
      </c>
      <c r="I110" s="34"/>
      <c r="J110" s="34"/>
    </row>
    <row r="111" spans="1:10" ht="41.25" customHeight="1">
      <c r="A111" s="141" t="s">
        <v>207</v>
      </c>
      <c r="B111" s="157"/>
      <c r="C111" s="146"/>
      <c r="D111" s="156" t="s">
        <v>208</v>
      </c>
      <c r="E111" s="152"/>
      <c r="F111" s="154"/>
      <c r="G111" s="36">
        <f>G112</f>
        <v>7757570</v>
      </c>
      <c r="H111" s="36">
        <f>H112</f>
        <v>6268955</v>
      </c>
      <c r="I111" s="36">
        <f>I112</f>
        <v>1488615</v>
      </c>
      <c r="J111" s="36">
        <f>J112</f>
        <v>1488615</v>
      </c>
    </row>
    <row r="112" spans="1:10" ht="40.5" customHeight="1">
      <c r="A112" s="141" t="s">
        <v>209</v>
      </c>
      <c r="B112" s="157"/>
      <c r="C112" s="146"/>
      <c r="D112" s="156" t="s">
        <v>208</v>
      </c>
      <c r="E112" s="152"/>
      <c r="F112" s="154"/>
      <c r="G112" s="36">
        <f>SUM(G113:G123)</f>
        <v>7757570</v>
      </c>
      <c r="H112" s="36">
        <f>SUM(H113:H123)</f>
        <v>6268955</v>
      </c>
      <c r="I112" s="36">
        <f>SUM(I113:I123)</f>
        <v>1488615</v>
      </c>
      <c r="J112" s="36">
        <f>SUM(J113:J123)</f>
        <v>1488615</v>
      </c>
    </row>
    <row r="113" spans="1:10" ht="84.75" customHeight="1">
      <c r="A113" s="143" t="s">
        <v>211</v>
      </c>
      <c r="B113" s="143" t="s">
        <v>212</v>
      </c>
      <c r="C113" s="146" t="s">
        <v>65</v>
      </c>
      <c r="D113" s="144" t="s">
        <v>213</v>
      </c>
      <c r="E113" s="27" t="s">
        <v>572</v>
      </c>
      <c r="F113" s="149" t="s">
        <v>573</v>
      </c>
      <c r="G113" s="34">
        <f>H113+I113</f>
        <v>70700</v>
      </c>
      <c r="H113" s="34">
        <v>70700</v>
      </c>
      <c r="I113" s="34"/>
      <c r="J113" s="34"/>
    </row>
    <row r="114" spans="1:10" ht="91.5" customHeight="1">
      <c r="A114" s="143" t="s">
        <v>214</v>
      </c>
      <c r="B114" s="143" t="s">
        <v>215</v>
      </c>
      <c r="C114" s="146" t="s">
        <v>65</v>
      </c>
      <c r="D114" s="144" t="s">
        <v>574</v>
      </c>
      <c r="E114" s="144" t="s">
        <v>555</v>
      </c>
      <c r="F114" s="149" t="s">
        <v>556</v>
      </c>
      <c r="G114" s="34">
        <f aca="true" t="shared" si="5" ref="G114:G123">H114+I114</f>
        <v>361200</v>
      </c>
      <c r="H114" s="34">
        <f>361200</f>
        <v>361200</v>
      </c>
      <c r="I114" s="34"/>
      <c r="J114" s="34"/>
    </row>
    <row r="115" spans="1:10" ht="90" customHeight="1">
      <c r="A115" s="143" t="s">
        <v>391</v>
      </c>
      <c r="B115" s="143" t="s">
        <v>367</v>
      </c>
      <c r="C115" s="143" t="s">
        <v>368</v>
      </c>
      <c r="D115" s="147" t="s">
        <v>369</v>
      </c>
      <c r="E115" s="153" t="s">
        <v>522</v>
      </c>
      <c r="F115" s="149" t="s">
        <v>559</v>
      </c>
      <c r="G115" s="34">
        <f>H115+I115</f>
        <v>11520</v>
      </c>
      <c r="H115" s="34">
        <v>11520</v>
      </c>
      <c r="I115" s="34"/>
      <c r="J115" s="34"/>
    </row>
    <row r="116" spans="1:10" ht="117" customHeight="1">
      <c r="A116" s="284">
        <v>1115011</v>
      </c>
      <c r="B116" s="284">
        <v>5011</v>
      </c>
      <c r="C116" s="285" t="s">
        <v>161</v>
      </c>
      <c r="D116" s="282" t="s">
        <v>575</v>
      </c>
      <c r="E116" s="27" t="s">
        <v>576</v>
      </c>
      <c r="F116" s="149" t="s">
        <v>577</v>
      </c>
      <c r="G116" s="34">
        <f t="shared" si="5"/>
        <v>303040</v>
      </c>
      <c r="H116" s="34">
        <v>303040</v>
      </c>
      <c r="I116" s="34"/>
      <c r="J116" s="34"/>
    </row>
    <row r="117" spans="1:10" ht="96.75" customHeight="1">
      <c r="A117" s="284"/>
      <c r="B117" s="284"/>
      <c r="C117" s="285"/>
      <c r="D117" s="282"/>
      <c r="E117" s="144" t="s">
        <v>541</v>
      </c>
      <c r="F117" s="149" t="s">
        <v>650</v>
      </c>
      <c r="G117" s="34">
        <f t="shared" si="5"/>
        <v>136960</v>
      </c>
      <c r="H117" s="34">
        <v>136960</v>
      </c>
      <c r="I117" s="34"/>
      <c r="J117" s="34"/>
    </row>
    <row r="118" spans="1:10" ht="105.75" customHeight="1">
      <c r="A118" s="151">
        <v>1115041</v>
      </c>
      <c r="B118" s="151">
        <v>5041</v>
      </c>
      <c r="C118" s="146" t="s">
        <v>161</v>
      </c>
      <c r="D118" s="144" t="s">
        <v>223</v>
      </c>
      <c r="E118" s="27" t="s">
        <v>576</v>
      </c>
      <c r="F118" s="149" t="s">
        <v>577</v>
      </c>
      <c r="G118" s="34">
        <f t="shared" si="5"/>
        <v>3737335</v>
      </c>
      <c r="H118" s="34">
        <f>3651500+85835</f>
        <v>3737335</v>
      </c>
      <c r="I118" s="34"/>
      <c r="J118" s="34"/>
    </row>
    <row r="119" spans="1:10" ht="93">
      <c r="A119" s="284">
        <v>1115062</v>
      </c>
      <c r="B119" s="284">
        <v>5062</v>
      </c>
      <c r="C119" s="285" t="s">
        <v>161</v>
      </c>
      <c r="D119" s="282" t="s">
        <v>578</v>
      </c>
      <c r="E119" s="27" t="s">
        <v>576</v>
      </c>
      <c r="F119" s="149" t="s">
        <v>577</v>
      </c>
      <c r="G119" s="34">
        <f t="shared" si="5"/>
        <v>345640</v>
      </c>
      <c r="H119" s="34">
        <f>100000+245640</f>
        <v>345640</v>
      </c>
      <c r="I119" s="34"/>
      <c r="J119" s="34"/>
    </row>
    <row r="120" spans="1:10" ht="78">
      <c r="A120" s="284"/>
      <c r="B120" s="284"/>
      <c r="C120" s="285"/>
      <c r="D120" s="289"/>
      <c r="E120" s="152" t="s">
        <v>579</v>
      </c>
      <c r="F120" s="149" t="s">
        <v>580</v>
      </c>
      <c r="G120" s="34">
        <f t="shared" si="5"/>
        <v>1284560</v>
      </c>
      <c r="H120" s="34">
        <v>1284560</v>
      </c>
      <c r="I120" s="34"/>
      <c r="J120" s="34"/>
    </row>
    <row r="121" spans="1:10" ht="93">
      <c r="A121" s="143" t="s">
        <v>347</v>
      </c>
      <c r="B121" s="143" t="s">
        <v>348</v>
      </c>
      <c r="C121" s="143" t="s">
        <v>99</v>
      </c>
      <c r="D121" s="155" t="s">
        <v>349</v>
      </c>
      <c r="E121" s="27" t="s">
        <v>576</v>
      </c>
      <c r="F121" s="149" t="s">
        <v>577</v>
      </c>
      <c r="G121" s="34">
        <f>H121+I121</f>
        <v>575498</v>
      </c>
      <c r="H121" s="34"/>
      <c r="I121" s="34">
        <f>J121</f>
        <v>575498</v>
      </c>
      <c r="J121" s="34">
        <f>575498</f>
        <v>575498</v>
      </c>
    </row>
    <row r="122" spans="1:10" ht="99" customHeight="1">
      <c r="A122" s="143" t="s">
        <v>339</v>
      </c>
      <c r="B122" s="143" t="s">
        <v>313</v>
      </c>
      <c r="C122" s="143" t="s">
        <v>100</v>
      </c>
      <c r="D122" s="147" t="s">
        <v>314</v>
      </c>
      <c r="E122" s="27" t="s">
        <v>576</v>
      </c>
      <c r="F122" s="149" t="s">
        <v>577</v>
      </c>
      <c r="G122" s="34">
        <f>H122+I122</f>
        <v>913117</v>
      </c>
      <c r="H122" s="34"/>
      <c r="I122" s="34">
        <f>J122</f>
        <v>913117</v>
      </c>
      <c r="J122" s="34">
        <f>174734+738383</f>
        <v>913117</v>
      </c>
    </row>
    <row r="123" spans="1:10" ht="78">
      <c r="A123" s="151">
        <v>1117693</v>
      </c>
      <c r="B123" s="151">
        <v>7693</v>
      </c>
      <c r="C123" s="146" t="s">
        <v>100</v>
      </c>
      <c r="D123" s="147" t="s">
        <v>110</v>
      </c>
      <c r="E123" s="144" t="s">
        <v>555</v>
      </c>
      <c r="F123" s="149" t="s">
        <v>556</v>
      </c>
      <c r="G123" s="34">
        <f t="shared" si="5"/>
        <v>18000</v>
      </c>
      <c r="H123" s="34">
        <v>18000</v>
      </c>
      <c r="I123" s="34"/>
      <c r="J123" s="34"/>
    </row>
    <row r="124" spans="1:10" ht="36.75" customHeight="1">
      <c r="A124" s="160" t="s">
        <v>231</v>
      </c>
      <c r="B124" s="146"/>
      <c r="C124" s="146"/>
      <c r="D124" s="156" t="s">
        <v>581</v>
      </c>
      <c r="E124" s="144"/>
      <c r="F124" s="139"/>
      <c r="G124" s="36">
        <f>G125</f>
        <v>3991925</v>
      </c>
      <c r="H124" s="36">
        <f>H125</f>
        <v>302398</v>
      </c>
      <c r="I124" s="36">
        <f>I125</f>
        <v>3689527</v>
      </c>
      <c r="J124" s="36">
        <f>J125</f>
        <v>3689527</v>
      </c>
    </row>
    <row r="125" spans="1:10" ht="41.25" customHeight="1">
      <c r="A125" s="160" t="s">
        <v>233</v>
      </c>
      <c r="B125" s="146"/>
      <c r="C125" s="146"/>
      <c r="D125" s="156" t="s">
        <v>581</v>
      </c>
      <c r="E125" s="144"/>
      <c r="F125" s="139"/>
      <c r="G125" s="36">
        <f>SUM(G126:G128)</f>
        <v>3991925</v>
      </c>
      <c r="H125" s="36">
        <f>SUM(H126:H128)</f>
        <v>302398</v>
      </c>
      <c r="I125" s="36">
        <f>SUM(I126:I128)</f>
        <v>3689527</v>
      </c>
      <c r="J125" s="36">
        <f>SUM(J126:J128)</f>
        <v>3689527</v>
      </c>
    </row>
    <row r="126" spans="1:10" ht="93">
      <c r="A126" s="143" t="s">
        <v>393</v>
      </c>
      <c r="B126" s="143" t="s">
        <v>348</v>
      </c>
      <c r="C126" s="143" t="s">
        <v>99</v>
      </c>
      <c r="D126" s="147" t="s">
        <v>349</v>
      </c>
      <c r="E126" s="148" t="s">
        <v>532</v>
      </c>
      <c r="F126" s="154" t="s">
        <v>654</v>
      </c>
      <c r="G126" s="34">
        <f>H126+I126</f>
        <v>22860</v>
      </c>
      <c r="H126" s="34"/>
      <c r="I126" s="34">
        <f>J126</f>
        <v>22860</v>
      </c>
      <c r="J126" s="34">
        <v>22860</v>
      </c>
    </row>
    <row r="127" spans="1:10" ht="93">
      <c r="A127" s="143" t="s">
        <v>392</v>
      </c>
      <c r="B127" s="143" t="s">
        <v>313</v>
      </c>
      <c r="C127" s="143" t="s">
        <v>100</v>
      </c>
      <c r="D127" s="147" t="s">
        <v>314</v>
      </c>
      <c r="E127" s="148" t="s">
        <v>532</v>
      </c>
      <c r="F127" s="154" t="s">
        <v>654</v>
      </c>
      <c r="G127" s="34">
        <f>H127+I127</f>
        <v>3666667</v>
      </c>
      <c r="H127" s="34"/>
      <c r="I127" s="34">
        <f>J127</f>
        <v>3666667</v>
      </c>
      <c r="J127" s="34">
        <f>6666667-2000000-1000000</f>
        <v>3666667</v>
      </c>
    </row>
    <row r="128" spans="1:10" ht="78">
      <c r="A128" s="146" t="s">
        <v>235</v>
      </c>
      <c r="B128" s="143">
        <v>7693</v>
      </c>
      <c r="C128" s="146" t="s">
        <v>100</v>
      </c>
      <c r="D128" s="147" t="s">
        <v>110</v>
      </c>
      <c r="E128" s="144" t="s">
        <v>582</v>
      </c>
      <c r="F128" s="149" t="s">
        <v>583</v>
      </c>
      <c r="G128" s="34">
        <f>H128+I128</f>
        <v>302398</v>
      </c>
      <c r="H128" s="34">
        <v>302398</v>
      </c>
      <c r="I128" s="34"/>
      <c r="J128" s="34"/>
    </row>
    <row r="129" spans="1:10" ht="46.5">
      <c r="A129" s="141" t="s">
        <v>241</v>
      </c>
      <c r="B129" s="141"/>
      <c r="C129" s="141"/>
      <c r="D129" s="161" t="s">
        <v>242</v>
      </c>
      <c r="E129" s="144"/>
      <c r="F129" s="149"/>
      <c r="G129" s="36">
        <f>G130</f>
        <v>805182</v>
      </c>
      <c r="H129" s="36">
        <f>H130</f>
        <v>681717</v>
      </c>
      <c r="I129" s="36">
        <f>I130</f>
        <v>123465</v>
      </c>
      <c r="J129" s="36">
        <f>J130</f>
        <v>123465</v>
      </c>
    </row>
    <row r="130" spans="1:10" ht="46.5">
      <c r="A130" s="141" t="s">
        <v>243</v>
      </c>
      <c r="B130" s="141"/>
      <c r="C130" s="141"/>
      <c r="D130" s="161" t="s">
        <v>242</v>
      </c>
      <c r="E130" s="144"/>
      <c r="F130" s="149"/>
      <c r="G130" s="36">
        <f>SUM(G131:G134)</f>
        <v>805182</v>
      </c>
      <c r="H130" s="36">
        <f>SUM(H131:H134)</f>
        <v>681717</v>
      </c>
      <c r="I130" s="36">
        <f>SUM(I131:I134)</f>
        <v>123465</v>
      </c>
      <c r="J130" s="36">
        <f>SUM(J131:J134)</f>
        <v>123465</v>
      </c>
    </row>
    <row r="131" spans="1:10" ht="84" customHeight="1">
      <c r="A131" s="276" t="s">
        <v>245</v>
      </c>
      <c r="B131" s="276" t="s">
        <v>109</v>
      </c>
      <c r="C131" s="276" t="s">
        <v>100</v>
      </c>
      <c r="D131" s="294" t="s">
        <v>584</v>
      </c>
      <c r="E131" s="147" t="s">
        <v>585</v>
      </c>
      <c r="F131" s="149" t="s">
        <v>586</v>
      </c>
      <c r="G131" s="34">
        <f>H131+I131</f>
        <v>385512</v>
      </c>
      <c r="H131" s="34">
        <v>385512</v>
      </c>
      <c r="I131" s="34"/>
      <c r="J131" s="34"/>
    </row>
    <row r="132" spans="1:10" ht="96.75" customHeight="1">
      <c r="A132" s="257"/>
      <c r="B132" s="257"/>
      <c r="C132" s="257"/>
      <c r="D132" s="259"/>
      <c r="E132" s="144" t="s">
        <v>502</v>
      </c>
      <c r="F132" s="139" t="s">
        <v>655</v>
      </c>
      <c r="G132" s="34">
        <f>H132+I132</f>
        <v>39000</v>
      </c>
      <c r="H132" s="34"/>
      <c r="I132" s="34">
        <f>J132</f>
        <v>39000</v>
      </c>
      <c r="J132" s="34">
        <f>39000</f>
        <v>39000</v>
      </c>
    </row>
    <row r="133" spans="1:10" ht="96.75" customHeight="1">
      <c r="A133" s="170" t="s">
        <v>591</v>
      </c>
      <c r="B133" s="170" t="s">
        <v>592</v>
      </c>
      <c r="C133" s="170" t="s">
        <v>593</v>
      </c>
      <c r="D133" s="171" t="s">
        <v>594</v>
      </c>
      <c r="E133" s="144" t="s">
        <v>502</v>
      </c>
      <c r="F133" s="139" t="s">
        <v>656</v>
      </c>
      <c r="G133" s="34">
        <f>H133+I133</f>
        <v>180670</v>
      </c>
      <c r="H133" s="34">
        <f>58915+37290</f>
        <v>96205</v>
      </c>
      <c r="I133" s="34">
        <f>J133</f>
        <v>84465</v>
      </c>
      <c r="J133" s="34">
        <f>15300+69165</f>
        <v>84465</v>
      </c>
    </row>
    <row r="134" spans="1:10" ht="78">
      <c r="A134" s="143" t="s">
        <v>247</v>
      </c>
      <c r="B134" s="143" t="s">
        <v>248</v>
      </c>
      <c r="C134" s="143" t="s">
        <v>113</v>
      </c>
      <c r="D134" s="147" t="s">
        <v>249</v>
      </c>
      <c r="E134" s="147" t="s">
        <v>585</v>
      </c>
      <c r="F134" s="149" t="s">
        <v>586</v>
      </c>
      <c r="G134" s="34">
        <f>H134+I134</f>
        <v>200000</v>
      </c>
      <c r="H134" s="34">
        <v>200000</v>
      </c>
      <c r="I134" s="34"/>
      <c r="J134" s="34"/>
    </row>
    <row r="135" spans="1:10" ht="37.5" customHeight="1">
      <c r="A135" s="141" t="s">
        <v>250</v>
      </c>
      <c r="B135" s="141"/>
      <c r="C135" s="141"/>
      <c r="D135" s="142" t="s">
        <v>251</v>
      </c>
      <c r="E135" s="144"/>
      <c r="F135" s="139"/>
      <c r="G135" s="36">
        <f>G136</f>
        <v>10131708</v>
      </c>
      <c r="H135" s="36">
        <f>H136</f>
        <v>5279472</v>
      </c>
      <c r="I135" s="36">
        <f>I136</f>
        <v>4852236</v>
      </c>
      <c r="J135" s="36">
        <f>J136</f>
        <v>4852236</v>
      </c>
    </row>
    <row r="136" spans="1:10" ht="46.5" customHeight="1">
      <c r="A136" s="141" t="s">
        <v>252</v>
      </c>
      <c r="B136" s="141"/>
      <c r="C136" s="141"/>
      <c r="D136" s="142" t="s">
        <v>251</v>
      </c>
      <c r="E136" s="144"/>
      <c r="F136" s="139"/>
      <c r="G136" s="36">
        <f>H136+I136</f>
        <v>10131708</v>
      </c>
      <c r="H136" s="36">
        <f>SUM(H137:H147)</f>
        <v>5279472</v>
      </c>
      <c r="I136" s="36">
        <f>SUM(I137:I147)</f>
        <v>4852236</v>
      </c>
      <c r="J136" s="36">
        <f>SUM(J137:J147)</f>
        <v>4852236</v>
      </c>
    </row>
    <row r="137" spans="1:10" ht="85.5" customHeight="1">
      <c r="A137" s="143" t="s">
        <v>394</v>
      </c>
      <c r="B137" s="143" t="s">
        <v>367</v>
      </c>
      <c r="C137" s="143" t="s">
        <v>368</v>
      </c>
      <c r="D137" s="147" t="s">
        <v>369</v>
      </c>
      <c r="E137" s="153" t="s">
        <v>522</v>
      </c>
      <c r="F137" s="149" t="s">
        <v>559</v>
      </c>
      <c r="G137" s="34">
        <f>H137</f>
        <v>24638</v>
      </c>
      <c r="H137" s="34">
        <v>24638</v>
      </c>
      <c r="I137" s="34"/>
      <c r="J137" s="34"/>
    </row>
    <row r="138" spans="1:10" ht="21" customHeight="1">
      <c r="A138" s="143" t="s">
        <v>307</v>
      </c>
      <c r="B138" s="143" t="s">
        <v>80</v>
      </c>
      <c r="C138" s="143" t="s">
        <v>77</v>
      </c>
      <c r="D138" s="147" t="s">
        <v>81</v>
      </c>
      <c r="E138" s="282" t="s">
        <v>587</v>
      </c>
      <c r="F138" s="287" t="s">
        <v>588</v>
      </c>
      <c r="G138" s="34">
        <f aca="true" t="shared" si="6" ref="G138:G147">H138+I138</f>
        <v>44480</v>
      </c>
      <c r="H138" s="34">
        <v>44480</v>
      </c>
      <c r="I138" s="34"/>
      <c r="J138" s="34"/>
    </row>
    <row r="139" spans="1:10" ht="30.75">
      <c r="A139" s="143" t="s">
        <v>254</v>
      </c>
      <c r="B139" s="143" t="s">
        <v>83</v>
      </c>
      <c r="C139" s="143" t="s">
        <v>77</v>
      </c>
      <c r="D139" s="147" t="s">
        <v>84</v>
      </c>
      <c r="E139" s="286"/>
      <c r="F139" s="287"/>
      <c r="G139" s="34">
        <f t="shared" si="6"/>
        <v>55000</v>
      </c>
      <c r="H139" s="34">
        <v>55000</v>
      </c>
      <c r="I139" s="34"/>
      <c r="J139" s="34"/>
    </row>
    <row r="140" spans="1:10" ht="20.25" customHeight="1">
      <c r="A140" s="143" t="s">
        <v>255</v>
      </c>
      <c r="B140" s="143" t="s">
        <v>89</v>
      </c>
      <c r="C140" s="143" t="s">
        <v>77</v>
      </c>
      <c r="D140" s="147" t="s">
        <v>90</v>
      </c>
      <c r="E140" s="286"/>
      <c r="F140" s="287"/>
      <c r="G140" s="34">
        <f t="shared" si="6"/>
        <v>3396840</v>
      </c>
      <c r="H140" s="34">
        <f>2039358+511184+144987</f>
        <v>2695529</v>
      </c>
      <c r="I140" s="34">
        <f aca="true" t="shared" si="7" ref="I140:I146">J140</f>
        <v>701311</v>
      </c>
      <c r="J140" s="34">
        <f>199980+108131+385200+8000</f>
        <v>701311</v>
      </c>
    </row>
    <row r="141" spans="1:10" ht="18" customHeight="1">
      <c r="A141" s="143" t="s">
        <v>305</v>
      </c>
      <c r="B141" s="143" t="s">
        <v>306</v>
      </c>
      <c r="C141" s="143" t="s">
        <v>77</v>
      </c>
      <c r="D141" s="147" t="s">
        <v>308</v>
      </c>
      <c r="E141" s="286"/>
      <c r="F141" s="287"/>
      <c r="G141" s="34">
        <f t="shared" si="6"/>
        <v>498792</v>
      </c>
      <c r="H141" s="34">
        <f>199000+299792</f>
        <v>498792</v>
      </c>
      <c r="I141" s="34"/>
      <c r="J141" s="34"/>
    </row>
    <row r="142" spans="1:10" ht="19.5" customHeight="1">
      <c r="A142" s="143" t="s">
        <v>256</v>
      </c>
      <c r="B142" s="143" t="s">
        <v>96</v>
      </c>
      <c r="C142" s="143" t="s">
        <v>97</v>
      </c>
      <c r="D142" s="147" t="s">
        <v>98</v>
      </c>
      <c r="E142" s="286"/>
      <c r="F142" s="287"/>
      <c r="G142" s="34">
        <f t="shared" si="6"/>
        <v>122576</v>
      </c>
      <c r="H142" s="34">
        <v>122576</v>
      </c>
      <c r="I142" s="34"/>
      <c r="J142" s="34"/>
    </row>
    <row r="143" spans="1:10" ht="23.25" customHeight="1">
      <c r="A143" s="143" t="s">
        <v>302</v>
      </c>
      <c r="B143" s="143" t="s">
        <v>303</v>
      </c>
      <c r="C143" s="143" t="s">
        <v>99</v>
      </c>
      <c r="D143" s="147" t="s">
        <v>304</v>
      </c>
      <c r="E143" s="286"/>
      <c r="F143" s="287"/>
      <c r="G143" s="34">
        <f t="shared" si="6"/>
        <v>325486</v>
      </c>
      <c r="H143" s="34"/>
      <c r="I143" s="34">
        <f t="shared" si="7"/>
        <v>325486</v>
      </c>
      <c r="J143" s="34">
        <f>575278+50000-299792</f>
        <v>325486</v>
      </c>
    </row>
    <row r="144" spans="1:10" ht="21" customHeight="1">
      <c r="A144" s="143" t="s">
        <v>257</v>
      </c>
      <c r="B144" s="143" t="s">
        <v>258</v>
      </c>
      <c r="C144" s="143" t="s">
        <v>99</v>
      </c>
      <c r="D144" s="147" t="s">
        <v>259</v>
      </c>
      <c r="E144" s="286"/>
      <c r="F144" s="287"/>
      <c r="G144" s="34">
        <f t="shared" si="6"/>
        <v>2542137</v>
      </c>
      <c r="H144" s="34"/>
      <c r="I144" s="34">
        <f t="shared" si="7"/>
        <v>2542137</v>
      </c>
      <c r="J144" s="34">
        <v>2542137</v>
      </c>
    </row>
    <row r="145" spans="1:10" ht="34.5" customHeight="1">
      <c r="A145" s="143" t="s">
        <v>260</v>
      </c>
      <c r="B145" s="143" t="s">
        <v>261</v>
      </c>
      <c r="C145" s="143" t="s">
        <v>99</v>
      </c>
      <c r="D145" s="147" t="s">
        <v>262</v>
      </c>
      <c r="E145" s="286"/>
      <c r="F145" s="287"/>
      <c r="G145" s="34">
        <f t="shared" si="6"/>
        <v>93500</v>
      </c>
      <c r="H145" s="34"/>
      <c r="I145" s="34">
        <f t="shared" si="7"/>
        <v>93500</v>
      </c>
      <c r="J145" s="34">
        <v>93500</v>
      </c>
    </row>
    <row r="146" spans="1:10" ht="40.5" customHeight="1">
      <c r="A146" s="143" t="s">
        <v>263</v>
      </c>
      <c r="B146" s="143" t="s">
        <v>102</v>
      </c>
      <c r="C146" s="143" t="s">
        <v>103</v>
      </c>
      <c r="D146" s="147" t="s">
        <v>104</v>
      </c>
      <c r="E146" s="286"/>
      <c r="F146" s="287"/>
      <c r="G146" s="34">
        <f t="shared" si="6"/>
        <v>3024285</v>
      </c>
      <c r="H146" s="34">
        <f>1609406+225077</f>
        <v>1834483</v>
      </c>
      <c r="I146" s="34">
        <f t="shared" si="7"/>
        <v>1189802</v>
      </c>
      <c r="J146" s="34">
        <v>1189802</v>
      </c>
    </row>
    <row r="147" spans="1:10" ht="18" customHeight="1">
      <c r="A147" s="143" t="s">
        <v>264</v>
      </c>
      <c r="B147" s="143" t="s">
        <v>109</v>
      </c>
      <c r="C147" s="143" t="s">
        <v>100</v>
      </c>
      <c r="D147" s="147" t="s">
        <v>110</v>
      </c>
      <c r="E147" s="286"/>
      <c r="F147" s="287"/>
      <c r="G147" s="34">
        <f t="shared" si="6"/>
        <v>3974</v>
      </c>
      <c r="H147" s="162">
        <v>3974</v>
      </c>
      <c r="I147" s="34"/>
      <c r="J147" s="162"/>
    </row>
    <row r="148" spans="1:10" ht="18" customHeight="1">
      <c r="A148" s="209" t="s">
        <v>265</v>
      </c>
      <c r="B148" s="209"/>
      <c r="C148" s="209"/>
      <c r="D148" s="210" t="s">
        <v>266</v>
      </c>
      <c r="E148" s="174"/>
      <c r="F148" s="149"/>
      <c r="G148" s="36">
        <f>G149</f>
        <v>67000</v>
      </c>
      <c r="H148" s="212">
        <f>H149</f>
        <v>67000</v>
      </c>
      <c r="I148" s="36"/>
      <c r="J148" s="212"/>
    </row>
    <row r="149" spans="1:10" ht="18" customHeight="1">
      <c r="A149" s="209" t="s">
        <v>267</v>
      </c>
      <c r="B149" s="209"/>
      <c r="C149" s="209"/>
      <c r="D149" s="210" t="s">
        <v>266</v>
      </c>
      <c r="E149" s="174"/>
      <c r="F149" s="149"/>
      <c r="G149" s="36">
        <f>H149+I149</f>
        <v>67000</v>
      </c>
      <c r="H149" s="212">
        <f>SUM(H150)</f>
        <v>67000</v>
      </c>
      <c r="I149" s="36"/>
      <c r="J149" s="212"/>
    </row>
    <row r="150" spans="1:10" ht="93">
      <c r="A150" s="143" t="s">
        <v>268</v>
      </c>
      <c r="B150" s="143" t="s">
        <v>130</v>
      </c>
      <c r="C150" s="143" t="s">
        <v>35</v>
      </c>
      <c r="D150" s="147" t="s">
        <v>131</v>
      </c>
      <c r="E150" s="144" t="s">
        <v>502</v>
      </c>
      <c r="F150" s="139" t="s">
        <v>655</v>
      </c>
      <c r="G150" s="34">
        <f>H150+I150</f>
        <v>67000</v>
      </c>
      <c r="H150" s="162">
        <v>67000</v>
      </c>
      <c r="I150" s="34"/>
      <c r="J150" s="162"/>
    </row>
    <row r="151" spans="1:10" ht="22.5" customHeight="1">
      <c r="A151" s="209" t="s">
        <v>269</v>
      </c>
      <c r="B151" s="209"/>
      <c r="C151" s="209"/>
      <c r="D151" s="210" t="s">
        <v>270</v>
      </c>
      <c r="E151" s="211"/>
      <c r="F151" s="28"/>
      <c r="G151" s="36">
        <f>G152</f>
        <v>6009260</v>
      </c>
      <c r="H151" s="36">
        <f>H152</f>
        <v>1380198</v>
      </c>
      <c r="I151" s="36">
        <f>I152</f>
        <v>4629062</v>
      </c>
      <c r="J151" s="36">
        <f>J152</f>
        <v>4629062</v>
      </c>
    </row>
    <row r="152" spans="1:10" ht="21.75" customHeight="1">
      <c r="A152" s="141" t="s">
        <v>271</v>
      </c>
      <c r="B152" s="141"/>
      <c r="C152" s="141"/>
      <c r="D152" s="161" t="s">
        <v>270</v>
      </c>
      <c r="E152" s="163"/>
      <c r="F152" s="28"/>
      <c r="G152" s="36">
        <f>G153+G154+G155</f>
        <v>6009260</v>
      </c>
      <c r="H152" s="36">
        <f>H153+H154+H155</f>
        <v>1380198</v>
      </c>
      <c r="I152" s="36">
        <f>I153+I154+I155</f>
        <v>4629062</v>
      </c>
      <c r="J152" s="36">
        <f>J153+J154+J155</f>
        <v>4629062</v>
      </c>
    </row>
    <row r="153" spans="1:10" ht="93">
      <c r="A153" s="139">
        <v>3718881</v>
      </c>
      <c r="B153" s="139">
        <v>8881</v>
      </c>
      <c r="C153" s="164" t="s">
        <v>100</v>
      </c>
      <c r="D153" s="147" t="s">
        <v>589</v>
      </c>
      <c r="E153" s="282" t="s">
        <v>537</v>
      </c>
      <c r="F153" s="139" t="s">
        <v>538</v>
      </c>
      <c r="G153" s="34">
        <f>H153+I153</f>
        <v>4629062</v>
      </c>
      <c r="H153" s="34"/>
      <c r="I153" s="34">
        <f>J153</f>
        <v>4629062</v>
      </c>
      <c r="J153" s="34">
        <f>4629062</f>
        <v>4629062</v>
      </c>
    </row>
    <row r="154" spans="1:10" ht="93">
      <c r="A154" s="143" t="s">
        <v>353</v>
      </c>
      <c r="B154" s="143" t="s">
        <v>354</v>
      </c>
      <c r="C154" s="143" t="s">
        <v>41</v>
      </c>
      <c r="D154" s="147" t="s">
        <v>335</v>
      </c>
      <c r="E154" s="288"/>
      <c r="F154" s="139" t="s">
        <v>538</v>
      </c>
      <c r="G154" s="34">
        <f>H154+I154</f>
        <v>202048</v>
      </c>
      <c r="H154" s="34">
        <v>202048</v>
      </c>
      <c r="I154" s="34"/>
      <c r="J154" s="34"/>
    </row>
    <row r="155" spans="1:10" ht="93">
      <c r="A155" s="143" t="s">
        <v>357</v>
      </c>
      <c r="B155" s="143" t="s">
        <v>358</v>
      </c>
      <c r="C155" s="143" t="s">
        <v>41</v>
      </c>
      <c r="D155" s="147" t="s">
        <v>359</v>
      </c>
      <c r="E155" s="288"/>
      <c r="F155" s="139" t="s">
        <v>538</v>
      </c>
      <c r="G155" s="34">
        <f>H155+I155</f>
        <v>1178150</v>
      </c>
      <c r="H155" s="34">
        <f>15000+100000+190000+69650+48500+150000+200000+405000</f>
        <v>1178150</v>
      </c>
      <c r="I155" s="34"/>
      <c r="J155" s="34"/>
    </row>
    <row r="156" spans="1:10" ht="15">
      <c r="A156" s="165" t="s">
        <v>24</v>
      </c>
      <c r="B156" s="165" t="s">
        <v>24</v>
      </c>
      <c r="C156" s="165" t="s">
        <v>24</v>
      </c>
      <c r="D156" s="165" t="s">
        <v>23</v>
      </c>
      <c r="E156" s="165"/>
      <c r="F156" s="166" t="s">
        <v>24</v>
      </c>
      <c r="G156" s="36">
        <f>G18+G67+G85+G101+G111+G124+G129+G135+G151+G148</f>
        <v>175338404</v>
      </c>
      <c r="H156" s="36">
        <f>H18+H67+H85+H101+H111+H124+H129+H135+H151+H148</f>
        <v>117975565</v>
      </c>
      <c r="I156" s="36">
        <f>I18+I67+I85+I101+I111+I124+I129+I135+I151+I148</f>
        <v>57362839</v>
      </c>
      <c r="J156" s="36">
        <f>J18+J67+J85+J101+J111+J124+J129+J135+J151+J148</f>
        <v>49725167</v>
      </c>
    </row>
    <row r="161" spans="3:13" ht="22.5">
      <c r="C161" s="30" t="s">
        <v>662</v>
      </c>
      <c r="D161" s="30"/>
      <c r="E161" s="30"/>
      <c r="F161" s="31"/>
      <c r="G161" s="30" t="s">
        <v>663</v>
      </c>
      <c r="H161"/>
      <c r="I161" s="31"/>
      <c r="J161" s="30"/>
      <c r="K161" s="167"/>
      <c r="M161"/>
    </row>
    <row r="162" spans="4:10" ht="18">
      <c r="D162" s="30"/>
      <c r="E162" s="30"/>
      <c r="F162" s="168"/>
      <c r="G162" s="30"/>
      <c r="H162" s="30"/>
      <c r="I162" s="30"/>
      <c r="J162" s="30"/>
    </row>
  </sheetData>
  <sheetProtection/>
  <mergeCells count="91">
    <mergeCell ref="E103:E105"/>
    <mergeCell ref="F103:F105"/>
    <mergeCell ref="E108:E110"/>
    <mergeCell ref="F108:F110"/>
    <mergeCell ref="A54:A55"/>
    <mergeCell ref="B54:B55"/>
    <mergeCell ref="C54:C55"/>
    <mergeCell ref="D54:D55"/>
    <mergeCell ref="A57:A62"/>
    <mergeCell ref="B57:B62"/>
    <mergeCell ref="A6:J6"/>
    <mergeCell ref="A10:A16"/>
    <mergeCell ref="B10:B16"/>
    <mergeCell ref="C10:C16"/>
    <mergeCell ref="D10:D16"/>
    <mergeCell ref="E10:E16"/>
    <mergeCell ref="F10:F16"/>
    <mergeCell ref="G10:G16"/>
    <mergeCell ref="H10:H16"/>
    <mergeCell ref="I10:J14"/>
    <mergeCell ref="I15:I16"/>
    <mergeCell ref="J15:J16"/>
    <mergeCell ref="A22:A23"/>
    <mergeCell ref="B22:B23"/>
    <mergeCell ref="C22:C23"/>
    <mergeCell ref="D22:D23"/>
    <mergeCell ref="A25:A30"/>
    <mergeCell ref="B25:B30"/>
    <mergeCell ref="C25:C30"/>
    <mergeCell ref="D25:D30"/>
    <mergeCell ref="A41:A42"/>
    <mergeCell ref="B41:B42"/>
    <mergeCell ref="C41:C42"/>
    <mergeCell ref="D41:D42"/>
    <mergeCell ref="A44:A45"/>
    <mergeCell ref="B44:B45"/>
    <mergeCell ref="C44:C45"/>
    <mergeCell ref="D44:D45"/>
    <mergeCell ref="C72:C74"/>
    <mergeCell ref="D72:D74"/>
    <mergeCell ref="A49:A50"/>
    <mergeCell ref="B49:B50"/>
    <mergeCell ref="C49:C50"/>
    <mergeCell ref="D49:D50"/>
    <mergeCell ref="C57:C62"/>
    <mergeCell ref="D57:D62"/>
    <mergeCell ref="A81:A82"/>
    <mergeCell ref="B81:B82"/>
    <mergeCell ref="C81:C82"/>
    <mergeCell ref="D81:D82"/>
    <mergeCell ref="A70:A71"/>
    <mergeCell ref="B70:B71"/>
    <mergeCell ref="C70:C71"/>
    <mergeCell ref="D70:D71"/>
    <mergeCell ref="A72:A74"/>
    <mergeCell ref="B72:B74"/>
    <mergeCell ref="E87:E90"/>
    <mergeCell ref="F87:F90"/>
    <mergeCell ref="E91:E92"/>
    <mergeCell ref="F91:F92"/>
    <mergeCell ref="D75:D76"/>
    <mergeCell ref="E93:E96"/>
    <mergeCell ref="F93:F96"/>
    <mergeCell ref="E98:E99"/>
    <mergeCell ref="F98:F99"/>
    <mergeCell ref="D131:D132"/>
    <mergeCell ref="A106:A107"/>
    <mergeCell ref="B106:B107"/>
    <mergeCell ref="C106:C107"/>
    <mergeCell ref="D106:D107"/>
    <mergeCell ref="A116:A117"/>
    <mergeCell ref="B116:B117"/>
    <mergeCell ref="C116:C117"/>
    <mergeCell ref="E138:E147"/>
    <mergeCell ref="F138:F147"/>
    <mergeCell ref="E153:E155"/>
    <mergeCell ref="A119:A120"/>
    <mergeCell ref="B119:B120"/>
    <mergeCell ref="C119:C120"/>
    <mergeCell ref="D119:D120"/>
    <mergeCell ref="A131:A132"/>
    <mergeCell ref="B131:B132"/>
    <mergeCell ref="C131:C132"/>
    <mergeCell ref="A46:A48"/>
    <mergeCell ref="B46:B48"/>
    <mergeCell ref="C46:C48"/>
    <mergeCell ref="D46:D48"/>
    <mergeCell ref="D116:D117"/>
    <mergeCell ref="A75:A76"/>
    <mergeCell ref="B75:B76"/>
    <mergeCell ref="C75:C7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vd-zag1</cp:lastModifiedBy>
  <cp:lastPrinted>2020-04-08T05:40:04Z</cp:lastPrinted>
  <dcterms:created xsi:type="dcterms:W3CDTF">2019-10-18T11:31:34Z</dcterms:created>
  <dcterms:modified xsi:type="dcterms:W3CDTF">2020-04-08T09:17:30Z</dcterms:modified>
  <cp:category/>
  <cp:version/>
  <cp:contentType/>
  <cp:contentStatus/>
</cp:coreProperties>
</file>