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4"/>
  </bookViews>
  <sheets>
    <sheet name="додаток1" sheetId="1" r:id="rId1"/>
    <sheet name="додаток2" sheetId="2" r:id="rId2"/>
    <sheet name="додаток 3" sheetId="3" r:id="rId3"/>
    <sheet name="додаток 4" sheetId="4" r:id="rId4"/>
    <sheet name="додаток 5" sheetId="5" r:id="rId5"/>
  </sheets>
  <definedNames>
    <definedName name="_xlnm.Print_Titles" localSheetId="3">'додаток 4'!$11:$16</definedName>
    <definedName name="_xlnm.Print_Titles" localSheetId="4">'додаток 5'!$9:$17</definedName>
    <definedName name="_xlnm.Print_Titles" localSheetId="1">'додаток2'!$12:$16</definedName>
  </definedNames>
  <calcPr fullCalcOnLoad="1"/>
</workbook>
</file>

<file path=xl/sharedStrings.xml><?xml version="1.0" encoding="utf-8"?>
<sst xmlns="http://schemas.openxmlformats.org/spreadsheetml/2006/main" count="1347" uniqueCount="581">
  <si>
    <t>Рішення Новокаховської міської ради від 08.02.2018 р.             № 1179 (зі змінами)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</si>
  <si>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</si>
  <si>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</si>
  <si>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</si>
  <si>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</si>
  <si>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</si>
  <si>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</si>
  <si>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вулиці Комарова КТП 330 смт. Козацьке Херсонської області</t>
  </si>
  <si>
    <t>21528000000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</si>
  <si>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</si>
  <si>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</si>
  <si>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</si>
  <si>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</si>
  <si>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</si>
  <si>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№ 1643</t>
  </si>
  <si>
    <t>Рішення Новокаховської міської ріди від 20.12.2018 р. № 1644</t>
  </si>
  <si>
    <t>Програма "Нова Каховка - Безпечне  місто 2020-2022"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</si>
  <si>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</si>
  <si>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 xml:space="preserve">Пограма розвитку освітньої галузі на 2020-2022 роки 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</si>
  <si>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</si>
  <si>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</si>
  <si>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Цільова  програма розвитку культури і туризму Новокаховської міської територіальної громади на  2020-2022 роки</t>
  </si>
  <si>
    <t>Програма технічної експертизи, модернізації та ремонту ліфтів у багатоквартирних житлових будинках на період 2018-2020 роки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</si>
  <si>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</si>
  <si>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</si>
  <si>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Програма розвитку інфраструктури старостинських округів Новокаховської міської територіальної громади на 2020-2022 роки</t>
  </si>
  <si>
    <t>Програма фінансової підтримки комунального підприємства "АкваСпорт" Новокаховської міської ради на 2020-2022 роки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</si>
  <si>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</si>
  <si>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</si>
  <si>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</si>
  <si>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Будівництво водонапірної башти с.Райське по вул. Основська,18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</si>
  <si>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</si>
  <si>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</si>
  <si>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</si>
  <si>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</si>
  <si>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</si>
  <si>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</si>
  <si>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</si>
  <si>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</si>
  <si>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</si>
  <si>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</si>
  <si>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</si>
  <si>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×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</si>
  <si>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</si>
  <si>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</si>
  <si>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</si>
  <si>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</si>
  <si>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</si>
  <si>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</si>
  <si>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</si>
  <si>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</si>
  <si>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</si>
  <si>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</si>
  <si>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</si>
  <si>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</si>
  <si>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Додаток 4</t>
  </si>
  <si>
    <t>Х</t>
  </si>
  <si>
    <t>Дата та номер документа, яким затверджено місцеву регіональну програму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</si>
  <si>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</si>
  <si>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</si>
  <si>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</si>
  <si>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</si>
  <si>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</si>
  <si>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</si>
  <si>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</si>
  <si>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</si>
  <si>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</si>
  <si>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</si>
  <si>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</si>
  <si>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</si>
  <si>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</si>
  <si>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</si>
  <si>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</si>
  <si>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</si>
  <si>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</si>
  <si>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</si>
  <si>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</si>
  <si>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</si>
  <si>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</si>
  <si>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</si>
  <si>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</si>
  <si>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</si>
  <si>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</si>
  <si>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</si>
  <si>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</si>
  <si>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</si>
  <si>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</si>
  <si>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</si>
  <si>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</si>
  <si>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</si>
  <si>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</si>
  <si>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</si>
  <si>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</si>
  <si>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</si>
  <si>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</si>
  <si>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</si>
  <si>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</si>
  <si>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</si>
  <si>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</si>
  <si>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</si>
  <si>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</si>
  <si>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</si>
  <si>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</si>
  <si>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</si>
  <si>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</si>
  <si>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</si>
  <si>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</si>
  <si>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</si>
  <si>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</si>
  <si>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</si>
  <si>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</si>
  <si>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</si>
  <si>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</si>
  <si>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</si>
  <si>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</si>
  <si>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</si>
  <si>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</si>
  <si>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</si>
  <si>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</si>
  <si>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</si>
  <si>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</si>
  <si>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</si>
  <si>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</si>
  <si>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</si>
  <si>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</si>
  <si>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</si>
  <si>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</si>
  <si>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</si>
  <si>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</si>
  <si>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</si>
  <si>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</si>
  <si>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</si>
  <si>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</si>
  <si>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</si>
  <si>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</si>
  <si>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</si>
  <si>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</si>
  <si>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</si>
  <si>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</si>
  <si>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</si>
  <si>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</si>
  <si>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</si>
  <si>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</si>
  <si>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</si>
  <si>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</si>
  <si>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</si>
  <si>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</si>
  <si>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</si>
  <si>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</si>
  <si>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</si>
  <si>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</si>
  <si>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</si>
  <si>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</si>
  <si>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</si>
  <si>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</si>
  <si>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</si>
  <si>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</si>
  <si>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</si>
  <si>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</si>
  <si>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</si>
  <si>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</si>
  <si>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</si>
  <si>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</si>
  <si>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</si>
  <si>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</si>
  <si>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</si>
  <si>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</si>
  <si>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</si>
  <si>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 xml:space="preserve">Інша діяльність у сфері державного управління </t>
  </si>
  <si>
    <t>Програма розвитку охорони здоров'я міста Нова Каховка та Першочергових заходів на 2016-2020 роки</t>
  </si>
  <si>
    <t>Програма боротьби з онкологічними захворюваннями на 2019-2023 роки</t>
  </si>
  <si>
    <t xml:space="preserve">Інші заходи у сфері соціального захисту і соціального забезпечення 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</si>
  <si>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</si>
  <si>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</si>
  <si>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Здійснення  заходів із землеустрою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</si>
  <si>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</si>
  <si>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Програми розвитку малого та середнього підприємництва в місті Нова Каховка на 2019-2021 роки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</si>
  <si>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</si>
  <si>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Програма фінансування  Комунальної установи "Трудовий архів м. Нова Каховка" на 2020-2022 роки</t>
  </si>
  <si>
    <t>Програма фінансової підтримки підприємств комунальної власності міста Нова Каховка на 2020-2022 роки</t>
  </si>
  <si>
    <t>Програма розвитку земельних відносин на території міста Нова Каховка на 2020-2022 роки</t>
  </si>
  <si>
    <t xml:space="preserve">Програма економічного, соціального та культурного розвитку міста Нова Каховка на 2020 рік  </t>
  </si>
  <si>
    <t>Програма забезпечення транспортного обслуговування загальноміських заходів на 2020 рік</t>
  </si>
  <si>
    <t>Програма економічного, соціального та культурного розвитку міста Нова Каховка на 2020 рік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</si>
  <si>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</si>
  <si>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</si>
  <si>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</si>
  <si>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</si>
  <si>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</si>
  <si>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</si>
  <si>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</si>
  <si>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</si>
  <si>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</si>
  <si>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</si>
  <si>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</si>
  <si>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</si>
  <si>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</si>
  <si>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</si>
  <si>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</si>
  <si>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</si>
  <si>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</si>
  <si>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</si>
  <si>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</si>
  <si>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</si>
  <si>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</si>
  <si>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</si>
  <si>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</si>
  <si>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</si>
  <si>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</si>
  <si>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</si>
  <si>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</si>
  <si>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</si>
  <si>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</si>
  <si>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</si>
  <si>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</si>
  <si>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</si>
  <si>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</si>
  <si>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</si>
  <si>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</si>
  <si>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</si>
  <si>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</si>
  <si>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 Новокаховської міської ради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</si>
  <si>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</si>
  <si>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Програма фінансування комунальної установи "Інклюзивно - ресурсний центр" Новокаховської міської ради на 2020-2022 роки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</si>
  <si>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</si>
  <si>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</si>
  <si>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</si>
  <si>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</si>
  <si>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</si>
  <si>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</si>
  <si>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</si>
  <si>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</si>
  <si>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</si>
  <si>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</si>
  <si>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</si>
  <si>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</si>
  <si>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</si>
  <si>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</si>
  <si>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</si>
  <si>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</si>
  <si>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</si>
  <si>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</si>
  <si>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</si>
  <si>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</si>
  <si>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</si>
  <si>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</si>
  <si>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</si>
  <si>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</si>
  <si>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</si>
  <si>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</si>
  <si>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</si>
  <si>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</si>
  <si>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</si>
  <si>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</si>
  <si>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</si>
  <si>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</si>
  <si>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</si>
  <si>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</si>
  <si>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</si>
  <si>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</si>
  <si>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</si>
  <si>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</si>
  <si>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</si>
  <si>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</si>
  <si>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</si>
  <si>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</si>
  <si>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</si>
  <si>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</si>
  <si>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</si>
  <si>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</si>
  <si>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</si>
  <si>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</si>
  <si>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</si>
  <si>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</si>
  <si>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</si>
  <si>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</si>
  <si>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</si>
  <si>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</si>
  <si>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</si>
  <si>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</si>
  <si>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</si>
  <si>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</si>
  <si>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</si>
  <si>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</si>
  <si>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</si>
  <si>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</si>
  <si>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</si>
  <si>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</si>
  <si>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</si>
  <si>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</si>
  <si>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</si>
  <si>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</si>
  <si>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</si>
  <si>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</si>
  <si>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</si>
  <si>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</si>
  <si>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</si>
  <si>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</si>
  <si>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</si>
  <si>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</si>
  <si>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</si>
  <si>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</si>
  <si>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</si>
  <si>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</si>
  <si>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</si>
  <si>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</si>
  <si>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</si>
  <si>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</si>
  <si>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</si>
  <si>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</si>
  <si>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</si>
  <si>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</si>
  <si>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</si>
  <si>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</si>
  <si>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</si>
  <si>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</si>
  <si>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</si>
  <si>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</si>
  <si>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</si>
  <si>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</si>
  <si>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</si>
  <si>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</si>
  <si>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</si>
  <si>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</si>
  <si>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</si>
  <si>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</si>
  <si>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</si>
  <si>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</si>
  <si>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</si>
  <si>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</si>
  <si>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</si>
  <si>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</si>
  <si>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</si>
  <si>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</si>
  <si>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</si>
  <si>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</si>
  <si>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</si>
  <si>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</si>
  <si>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</si>
  <si>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Підтримка  спорту вищих досягнень  та організацій, які  здійснюють  фізкультурно-спортивну діяльність в регіоні</t>
  </si>
  <si>
    <t>Програма молодіжної політики на 2020-2022 роки на території Новокаховської міської територіальної громади</t>
  </si>
  <si>
    <t>Програма розвитку фізичної культури та спорту на території Новокаховської міської територіальної громади на 2020-2022 роки</t>
  </si>
  <si>
    <t>Програма розвитку футболу на території Новокаховської  міської територіальної громади на 2020-2022 роки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</si>
  <si>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</si>
  <si>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</si>
  <si>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</si>
  <si>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</si>
  <si>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</si>
  <si>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</si>
  <si>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</si>
  <si>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</si>
  <si>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</si>
  <si>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</si>
  <si>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</si>
  <si>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</si>
  <si>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</si>
  <si>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</si>
  <si>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</si>
  <si>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</si>
  <si>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</si>
  <si>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</si>
  <si>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</si>
  <si>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</si>
  <si>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</si>
  <si>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</si>
  <si>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</si>
  <si>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</si>
  <si>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</si>
  <si>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</si>
  <si>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</si>
  <si>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</si>
  <si>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</si>
  <si>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</si>
  <si>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</si>
  <si>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>Програма соціальної підтримки сім"ї на 2020 -2022 роки</t>
  </si>
  <si>
    <t>Управління містобудування та архітектури Новокаховської міської ради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</si>
  <si>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</si>
  <si>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</si>
  <si>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</si>
  <si>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</si>
  <si>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</si>
  <si>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</si>
  <si>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Відділ  культури і туризму Новокаховської міської ради</t>
  </si>
  <si>
    <t>Реалізація програм і заходів в галузі туризму та курортів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</si>
  <si>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</si>
  <si>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</si>
  <si>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</si>
  <si>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</si>
  <si>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</si>
  <si>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</si>
  <si>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</si>
  <si>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</si>
  <si>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</si>
  <si>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</si>
  <si>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</si>
  <si>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</si>
  <si>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</si>
  <si>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</si>
  <si>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</si>
  <si>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</si>
  <si>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</si>
  <si>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</si>
  <si>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</si>
  <si>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</si>
  <si>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</si>
  <si>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</si>
  <si>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</si>
  <si>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</si>
  <si>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</si>
  <si>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</si>
  <si>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</si>
  <si>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Трансферти з інших місцевих бюджетів</t>
  </si>
  <si>
    <t>Дотація на: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</si>
  <si>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</si>
  <si>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освіти за рахунок коштів освітньої субвенції</t>
  </si>
  <si>
    <t>здійснення переданих видатків у сфері охорони здоров’я за рахунок коштів медичної субвенції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</si>
  <si>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</si>
  <si>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 закладах загальної середньої освіти</t>
  </si>
  <si>
    <t>4</t>
  </si>
  <si>
    <t>5</t>
  </si>
  <si>
    <t>6</t>
  </si>
  <si>
    <t>Обласний бюджет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</si>
  <si>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</si>
  <si>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</si>
  <si>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</si>
  <si>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субвенції</t>
  </si>
  <si>
    <t>загального фонду на:</t>
  </si>
  <si>
    <t>на заробітну плату педагогічним працівникам інклюзивно-ресурсних центрів</t>
  </si>
  <si>
    <t>цільові видатки на лікування хворих на цукровий та нецукровий діабет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</si>
  <si>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</si>
  <si>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</si>
  <si>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</si>
  <si>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</si>
  <si>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</si>
  <si>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</si>
  <si>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</si>
  <si>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</si>
  <si>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Рішення Новокаховської міської ради від 20.12.2018 р.     № 1625 (зі змінами)</t>
  </si>
  <si>
    <t>Рішення Новокаховської міської ради від 21.12.2017 р.         № 1081 (зі змінами)</t>
  </si>
  <si>
    <t>Рішення Новокаховської міської ріди від 20.12.2018 р.        № 1626 (зі змінами)</t>
  </si>
  <si>
    <t>Рішення Новокаховської міської ріди від 10.12.2015 р.       № 34 (зі змінами)</t>
  </si>
  <si>
    <t>Рішення Новокаховської міської ради           від 12.12.2019 р.       № 2487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</si>
  <si>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</si>
  <si>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Рішення Новокаховської міської ради           від 12.12.2019 р.       № 2433</t>
  </si>
  <si>
    <t>Рішення Новокаховської міської ради           від 12.12.2019 р.       № 2428</t>
  </si>
  <si>
    <t>Рішення Новокаховської міської ради           від 12.12.2019 р.       № 2429</t>
  </si>
  <si>
    <t>Рішення Новокаховської міської ради           від 12.12.2019 р.       № 2444</t>
  </si>
  <si>
    <t>Рішення Новокаховської міської ради від 25.02.2016 р.         № 172 (зі змінами)</t>
  </si>
  <si>
    <t>Рішення Новокаховської міської ради від 21.11.2019 р.        № 2347</t>
  </si>
  <si>
    <t>Рішення Новокаховської міської ради від 12.12.2019 р.        № 2445</t>
  </si>
  <si>
    <t>Рішення Новокаховської міської ради від 21.11.2019 р.        № 2375</t>
  </si>
  <si>
    <t>Рішення Новокаховської міської ради  від 12.12.2019 р.        № 2421</t>
  </si>
  <si>
    <t>Рішення Новокаховської міської ради  від 12.12.2019 р.        № 2476</t>
  </si>
  <si>
    <t>Рішення Новокаховської міської ради  від 12.12.2019 р.        № 2481</t>
  </si>
  <si>
    <t>Рішення Новокаховської міської ради  від 12.12.2019 р.        № 2434</t>
  </si>
  <si>
    <t>Рішення Новокаховської міської ради  від 12.12.2019 р.        № 2465</t>
  </si>
  <si>
    <t>Рішення Новокаховської міської ради  від 12.12.2019 р.        № 2443</t>
  </si>
  <si>
    <t>Рішення Новокаховської міської ради  від 12.12.2019 р.        № 2466</t>
  </si>
  <si>
    <t>Рішення Новокаховської міської ради  від 12.12.2019 р.        № 2477</t>
  </si>
  <si>
    <t>Рішення Новокаховської міської ради  від 12.12.2019 р.        № 2472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</si>
  <si>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</si>
  <si>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</si>
  <si>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</si>
  <si>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</si>
  <si>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</si>
  <si>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</si>
  <si>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</si>
  <si>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Реконструкція вуличного освітлення по вул. Шевченка в смт. Дніпряни Херсонської області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</si>
  <si>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</si>
  <si>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</si>
  <si>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Будівництво інших об'єктів комунальної власності</t>
  </si>
  <si>
    <t>0617321</t>
  </si>
  <si>
    <t>7321</t>
  </si>
  <si>
    <t>Будівництво освітніх установ та закладів</t>
  </si>
  <si>
    <t>Будівництво Центру надання адміністративних послуг м. Нова Каховка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</si>
  <si>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</si>
  <si>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</si>
  <si>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</si>
  <si>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</si>
  <si>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</si>
  <si>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Розподіл витрат бюджету Новокаховської міської об"єднаної територіальної громади на реалізацію міських програм у 2020 році</t>
  </si>
  <si>
    <t>Рішення Новокаховської міської ради від 24.12.2019 р. №2567</t>
  </si>
  <si>
    <t>0217310</t>
  </si>
  <si>
    <t>Рішення Новокаховської міської ради  від 12.12.2019 р.        № 2418 (зі змінами)</t>
  </si>
  <si>
    <t>Рішення Новокаховської міської ради  від 12.12.2019 р.        № 2446 (зі змінами)</t>
  </si>
  <si>
    <t>Рішення Новокаховської міської ради  від 12.12.2019 р.        № 2464 (зі змінами)</t>
  </si>
  <si>
    <t>Реконструкція покриття тротуарів по пр. Дніпровський та парковій зоні</t>
  </si>
  <si>
    <t>2019-2020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</si>
  <si>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</si>
  <si>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2016-2021</t>
  </si>
  <si>
    <t>2017-2020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</si>
  <si>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</si>
  <si>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</si>
  <si>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</si>
  <si>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</si>
  <si>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</si>
  <si>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</si>
  <si>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</si>
  <si>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</si>
  <si>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</si>
  <si>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</si>
  <si>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</si>
  <si>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</si>
  <si>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</si>
  <si>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</si>
  <si>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</si>
  <si>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</si>
  <si>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</si>
  <si>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</si>
  <si>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</si>
  <si>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</si>
  <si>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</si>
  <si>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</si>
  <si>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</si>
  <si>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</si>
  <si>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</si>
  <si>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</si>
  <si>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</si>
  <si>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</si>
  <si>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</si>
  <si>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</si>
  <si>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</si>
  <si>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</si>
  <si>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</si>
  <si>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</si>
  <si>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</si>
  <si>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</si>
  <si>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</si>
  <si>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</si>
  <si>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</si>
  <si>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</si>
  <si>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</si>
  <si>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</si>
  <si>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</si>
  <si>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Надання коштів для забезпечення гарантійних зобов'язань за позичальників, що отримали кредити під місцеві гарантії</t>
  </si>
  <si>
    <t>Трансферти іншим бюджетам</t>
  </si>
  <si>
    <t>на утримання та технічне обслуговування котелень, які знаходяться на балансі Таврійської міської ради</t>
  </si>
  <si>
    <t>Таврійський міський бюджет</t>
  </si>
  <si>
    <t>Додаток 5</t>
  </si>
  <si>
    <t>На початок періоду</t>
  </si>
  <si>
    <t>Рішення Новокаховської міської ради від 24.12.2019 р. №2567 (зі змінами)</t>
  </si>
  <si>
    <t>Рішення Новокаховської міської ради від 12.12.2019 р.            № 2494 (зі змінами)</t>
  </si>
  <si>
    <t>Будівництво пандусу кінотеатру "Юність"</t>
  </si>
  <si>
    <t>Реконструкція скверу Сільських будівельників (проектні роботи)</t>
  </si>
  <si>
    <t>Рішення Новокаховської міської ради  від 12.12.2019 р.        № 2435 (зі змінами)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</si>
  <si>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</si>
  <si>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>Рішення Новокаховської міської ради  від 13.02.2020 р.        № _____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</si>
  <si>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</si>
  <si>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</si>
  <si>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Рішення Новокаховської міської ради від 20.12.2018 р. № 1624</t>
  </si>
  <si>
    <t>Рішення Новокаховської міської ради від 11.04.2019 р.            № 1919 (зі змінами)</t>
  </si>
  <si>
    <t>Рішення Новокаховської міської ради від 06.06.2018 р.        № 1349 (зі змінами)</t>
  </si>
  <si>
    <t>Рішення Новокаховської міської ради від 13.02.2020  р.        № ________</t>
  </si>
  <si>
    <t>Рішення Новокаховської міської ради від 24.12.2019 р. № 2567 (зі змінами)</t>
  </si>
  <si>
    <t>Рішення Новокаховської міської ради  від 12.12.2019 р.        № 2463</t>
  </si>
  <si>
    <t>Рішення Новокаховської міської ради від 24.12.2019 р.    № 2567 (зі змінами)</t>
  </si>
  <si>
    <t>Програма відшкодування різниці в тарифах на послуги місцевого автотранспорту на 2018-2020 роки</t>
  </si>
  <si>
    <t>Програма місцевих стимулів для лікуючих 
лікарів на території Новокаховської  міської ради на 2018-2022 роки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</si>
  <si>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</si>
  <si>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Реконструкція нежитлового приміщення під житлові кімнати по пров. Тихий, 28 в м. Нова Каховка (проектні роботи)</t>
  </si>
  <si>
    <t>Будівництво пандусу ЗЗСО №7</t>
  </si>
  <si>
    <t>Реставраційні роботи Палацу культури (проектні роботи)</t>
  </si>
  <si>
    <t>Реконструкція покрівлі будинку культури в с. Веселе</t>
  </si>
  <si>
    <t>Будівництво Центру Олімпійських видів спорту "Н2О Нова Каховка" (проектні роботи)</t>
  </si>
  <si>
    <t xml:space="preserve">Будівництво Центру Олімпійських видів спорту "Н2О Нова Каховка" </t>
  </si>
  <si>
    <t>2018-2020</t>
  </si>
  <si>
    <t>2020-2022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</si>
  <si>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</si>
  <si>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</si>
  <si>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</si>
  <si>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Рішення Новокаховської міської ради від 21.11.2019 р.        № 2347 (зі змінами)</t>
  </si>
  <si>
    <t xml:space="preserve">до рішення </t>
  </si>
  <si>
    <t xml:space="preserve">виконавчого комітету </t>
  </si>
  <si>
    <t>Перший заступник міського голови</t>
  </si>
  <si>
    <t>Л.Г. Чурсинов</t>
  </si>
  <si>
    <t>виконавчого комітету</t>
  </si>
  <si>
    <t xml:space="preserve">до рішення  </t>
  </si>
  <si>
    <t xml:space="preserve"> виконавчого комітету</t>
  </si>
  <si>
    <t>Державний бюджет</t>
  </si>
  <si>
    <t>10.02.2020 року № 57</t>
  </si>
  <si>
    <t>10.02. 2020 року № 57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</si>
</sst>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5" fillId="0" borderId="0">
      <alignment vertical="top"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7" applyFont="1" applyBorder="1">
      <alignment/>
      <protection/>
    </xf>
    <xf numFmtId="0" fontId="2" fillId="0" borderId="12" xfId="57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56" applyFont="1" applyFill="1" applyBorder="1" applyAlignment="1">
      <alignment horizontal="center" vertical="center" wrapText="1"/>
      <protection/>
    </xf>
    <xf numFmtId="3" fontId="9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179" fontId="2" fillId="0" borderId="12" xfId="65" applyNumberFormat="1" applyFont="1" applyBorder="1" applyAlignment="1">
      <alignment horizontal="center" vertical="center" wrapText="1"/>
    </xf>
    <xf numFmtId="179" fontId="2" fillId="0" borderId="12" xfId="65" applyNumberFormat="1" applyFont="1" applyFill="1" applyBorder="1" applyAlignment="1">
      <alignment horizontal="center" vertical="center" wrapText="1"/>
    </xf>
    <xf numFmtId="179" fontId="4" fillId="0" borderId="12" xfId="65" applyNumberFormat="1" applyFont="1" applyBorder="1" applyAlignment="1">
      <alignment horizontal="center" vertical="center" wrapText="1"/>
    </xf>
    <xf numFmtId="179" fontId="2" fillId="0" borderId="13" xfId="65" applyNumberFormat="1" applyFont="1" applyFill="1" applyBorder="1" applyAlignment="1" applyProtection="1">
      <alignment horizontal="center" vertical="center"/>
      <protection/>
    </xf>
    <xf numFmtId="179" fontId="2" fillId="0" borderId="12" xfId="65" applyNumberFormat="1" applyFont="1" applyFill="1" applyBorder="1" applyAlignment="1" applyProtection="1">
      <alignment horizontal="center" vertical="center"/>
      <protection/>
    </xf>
    <xf numFmtId="179" fontId="4" fillId="0" borderId="12" xfId="65" applyNumberFormat="1" applyFont="1" applyFill="1" applyBorder="1" applyAlignment="1" applyProtection="1">
      <alignment horizontal="center" vertical="center"/>
      <protection/>
    </xf>
    <xf numFmtId="179" fontId="8" fillId="0" borderId="12" xfId="65" applyNumberFormat="1" applyFont="1" applyBorder="1" applyAlignment="1">
      <alignment horizontal="center" vertical="center"/>
    </xf>
    <xf numFmtId="179" fontId="10" fillId="0" borderId="12" xfId="65" applyNumberFormat="1" applyFont="1" applyBorder="1" applyAlignment="1">
      <alignment horizontal="center" vertical="center"/>
    </xf>
    <xf numFmtId="179" fontId="8" fillId="0" borderId="0" xfId="65" applyNumberFormat="1" applyFont="1" applyAlignment="1">
      <alignment horizontal="center" vertical="center"/>
    </xf>
    <xf numFmtId="0" fontId="18" fillId="0" borderId="0" xfId="0" applyFont="1" applyAlignment="1">
      <alignment/>
    </xf>
    <xf numFmtId="179" fontId="2" fillId="0" borderId="12" xfId="65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8" fillId="33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9" fontId="22" fillId="0" borderId="0" xfId="65" applyNumberFormat="1" applyFont="1" applyBorder="1" applyAlignment="1">
      <alignment vertical="center"/>
    </xf>
    <xf numFmtId="179" fontId="22" fillId="0" borderId="0" xfId="65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31" fillId="0" borderId="19" xfId="54" applyFont="1" applyBorder="1" applyAlignment="1">
      <alignment vertical="center" wrapText="1"/>
      <protection/>
    </xf>
    <xf numFmtId="0" fontId="31" fillId="0" borderId="12" xfId="55" applyFont="1" applyBorder="1" applyAlignment="1">
      <alignment vertical="center" wrapText="1"/>
      <protection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99" fontId="21" fillId="0" borderId="13" xfId="65" applyNumberFormat="1" applyFont="1" applyBorder="1" applyAlignment="1">
      <alignment vertical="center" wrapText="1"/>
    </xf>
    <xf numFmtId="199" fontId="21" fillId="0" borderId="12" xfId="65" applyNumberFormat="1" applyFont="1" applyBorder="1" applyAlignment="1">
      <alignment vertical="center" wrapText="1"/>
    </xf>
    <xf numFmtId="199" fontId="22" fillId="0" borderId="12" xfId="65" applyNumberFormat="1" applyFont="1" applyBorder="1" applyAlignment="1">
      <alignment vertical="center"/>
    </xf>
    <xf numFmtId="199" fontId="22" fillId="0" borderId="12" xfId="65" applyNumberFormat="1" applyFont="1" applyBorder="1" applyAlignment="1">
      <alignment vertical="center" wrapText="1"/>
    </xf>
    <xf numFmtId="199" fontId="22" fillId="0" borderId="17" xfId="65" applyNumberFormat="1" applyFont="1" applyBorder="1" applyAlignment="1">
      <alignment vertical="center" wrapText="1"/>
    </xf>
    <xf numFmtId="199" fontId="22" fillId="0" borderId="17" xfId="65" applyNumberFormat="1" applyFont="1" applyBorder="1" applyAlignment="1">
      <alignment vertical="center"/>
    </xf>
    <xf numFmtId="199" fontId="21" fillId="0" borderId="13" xfId="65" applyNumberFormat="1" applyFont="1" applyBorder="1" applyAlignment="1">
      <alignment vertical="center"/>
    </xf>
    <xf numFmtId="199" fontId="22" fillId="0" borderId="12" xfId="0" applyNumberFormat="1" applyFont="1" applyBorder="1" applyAlignment="1">
      <alignment/>
    </xf>
    <xf numFmtId="199" fontId="22" fillId="0" borderId="20" xfId="65" applyNumberFormat="1" applyFont="1" applyBorder="1" applyAlignment="1">
      <alignment vertical="center"/>
    </xf>
    <xf numFmtId="199" fontId="22" fillId="0" borderId="20" xfId="65" applyNumberFormat="1" applyFont="1" applyBorder="1" applyAlignment="1">
      <alignment vertical="center" wrapText="1"/>
    </xf>
    <xf numFmtId="199" fontId="21" fillId="0" borderId="12" xfId="65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31" fillId="0" borderId="12" xfId="0" applyFont="1" applyBorder="1" applyAlignment="1">
      <alignment vertical="center" wrapText="1"/>
    </xf>
    <xf numFmtId="199" fontId="73" fillId="0" borderId="12" xfId="65" applyNumberFormat="1" applyFont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9" fillId="0" borderId="12" xfId="49" applyNumberFormat="1" applyFont="1" applyFill="1" applyBorder="1" applyAlignment="1">
      <alignment horizontal="center" vertical="center"/>
      <protection/>
    </xf>
    <xf numFmtId="1" fontId="6" fillId="0" borderId="12" xfId="49" applyNumberFormat="1" applyFont="1" applyFill="1" applyBorder="1" applyAlignment="1">
      <alignment horizontal="center" vertical="center"/>
      <protection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22" fillId="0" borderId="12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3" fontId="6" fillId="0" borderId="20" xfId="0" applyNumberFormat="1" applyFont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179" fontId="2" fillId="0" borderId="13" xfId="65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179" fontId="7" fillId="0" borderId="0" xfId="65" applyNumberFormat="1" applyFont="1" applyBorder="1" applyAlignment="1">
      <alignment vertical="center"/>
    </xf>
    <xf numFmtId="199" fontId="22" fillId="0" borderId="12" xfId="65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49" fontId="28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21" xfId="57" applyFont="1" applyBorder="1" applyAlignment="1">
      <alignment wrapText="1"/>
      <protection/>
    </xf>
    <xf numFmtId="0" fontId="11" fillId="0" borderId="22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28" fillId="33" borderId="41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8" fillId="33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8" fillId="0" borderId="50" xfId="0" applyFont="1" applyBorder="1" applyAlignment="1">
      <alignment/>
    </xf>
    <xf numFmtId="0" fontId="0" fillId="0" borderId="51" xfId="0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4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1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_дод.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34</v>
      </c>
    </row>
    <row r="2" spans="5:7" ht="13.5">
      <c r="E2" s="128" t="s">
        <v>571</v>
      </c>
      <c r="G2" s="2"/>
    </row>
    <row r="3" ht="13.5">
      <c r="E3" s="4" t="s">
        <v>572</v>
      </c>
    </row>
    <row r="4" ht="13.5">
      <c r="E4" s="4" t="s">
        <v>579</v>
      </c>
    </row>
    <row r="5" ht="13.5">
      <c r="F5" s="127"/>
    </row>
    <row r="7" spans="1:6" ht="17.25">
      <c r="A7" s="227" t="s">
        <v>478</v>
      </c>
      <c r="B7" s="227"/>
      <c r="C7" s="227"/>
      <c r="D7" s="227"/>
      <c r="E7" s="227"/>
      <c r="F7" s="227"/>
    </row>
    <row r="8" spans="1:6" ht="15">
      <c r="A8" s="22"/>
      <c r="B8" s="22"/>
      <c r="C8" s="22"/>
      <c r="D8" s="22"/>
      <c r="E8" s="22"/>
      <c r="F8" s="22"/>
    </row>
    <row r="9" spans="1:6" ht="15">
      <c r="A9" s="196" t="s">
        <v>8</v>
      </c>
      <c r="B9" s="22"/>
      <c r="C9" s="22"/>
      <c r="D9" s="22"/>
      <c r="E9" s="22"/>
      <c r="F9" s="22"/>
    </row>
    <row r="10" ht="12.75">
      <c r="A10" s="1" t="s">
        <v>58</v>
      </c>
    </row>
    <row r="11" spans="1:6" ht="12.75">
      <c r="A11" s="5"/>
      <c r="F11" s="6" t="s">
        <v>35</v>
      </c>
    </row>
    <row r="12" ht="13.5" thickBot="1"/>
    <row r="13" spans="1:6" ht="26.25" customHeight="1" thickBot="1">
      <c r="A13" s="228" t="s">
        <v>36</v>
      </c>
      <c r="B13" s="228" t="s">
        <v>59</v>
      </c>
      <c r="C13" s="228" t="s">
        <v>37</v>
      </c>
      <c r="D13" s="228" t="s">
        <v>38</v>
      </c>
      <c r="E13" s="233" t="s">
        <v>39</v>
      </c>
      <c r="F13" s="234"/>
    </row>
    <row r="14" spans="1:6" ht="31.5" thickBot="1">
      <c r="A14" s="229"/>
      <c r="B14" s="229"/>
      <c r="C14" s="229"/>
      <c r="D14" s="229"/>
      <c r="E14" s="3" t="s">
        <v>40</v>
      </c>
      <c r="F14" s="3" t="s">
        <v>41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35" t="s">
        <v>43</v>
      </c>
      <c r="B16" s="236"/>
      <c r="C16" s="237"/>
      <c r="D16" s="237"/>
      <c r="E16" s="237"/>
      <c r="F16" s="238"/>
    </row>
    <row r="17" spans="1:6" ht="15">
      <c r="A17" s="24">
        <v>200000</v>
      </c>
      <c r="B17" s="25" t="s">
        <v>395</v>
      </c>
      <c r="C17" s="28">
        <f>D17+E17</f>
        <v>21696900</v>
      </c>
      <c r="D17" s="88">
        <f>D18</f>
        <v>-29203078</v>
      </c>
      <c r="E17" s="88">
        <f>E18</f>
        <v>50899978</v>
      </c>
      <c r="F17" s="88">
        <f>F18</f>
        <v>50186020</v>
      </c>
    </row>
    <row r="18" spans="1:6" ht="30.75">
      <c r="A18" s="26">
        <v>208000</v>
      </c>
      <c r="B18" s="27" t="s">
        <v>396</v>
      </c>
      <c r="C18" s="28">
        <f>D18+E18</f>
        <v>21696900</v>
      </c>
      <c r="D18" s="89">
        <f>D20+D19</f>
        <v>-29203078</v>
      </c>
      <c r="E18" s="89">
        <f>E20+E19</f>
        <v>50899978</v>
      </c>
      <c r="F18" s="89">
        <f>F20+F19</f>
        <v>50186020</v>
      </c>
    </row>
    <row r="19" spans="1:6" ht="15">
      <c r="A19" s="26">
        <v>208100</v>
      </c>
      <c r="B19" s="27" t="s">
        <v>539</v>
      </c>
      <c r="C19" s="28">
        <f>D19+E19</f>
        <v>21696900</v>
      </c>
      <c r="D19" s="89">
        <v>16262108</v>
      </c>
      <c r="E19" s="89">
        <v>5434792</v>
      </c>
      <c r="F19" s="89">
        <v>4720834</v>
      </c>
    </row>
    <row r="20" spans="1:6" ht="30.75" customHeight="1">
      <c r="A20" s="26">
        <v>208400</v>
      </c>
      <c r="B20" s="27" t="s">
        <v>397</v>
      </c>
      <c r="C20" s="28"/>
      <c r="D20" s="89">
        <f>-35917919-9547267</f>
        <v>-45465186</v>
      </c>
      <c r="E20" s="89">
        <f>F20</f>
        <v>45465186</v>
      </c>
      <c r="F20" s="89">
        <f>35917919+9547267</f>
        <v>45465186</v>
      </c>
    </row>
    <row r="21" spans="1:6" ht="16.5" customHeight="1">
      <c r="A21" s="29" t="s">
        <v>56</v>
      </c>
      <c r="B21" s="30" t="s">
        <v>44</v>
      </c>
      <c r="C21" s="31">
        <f>D21+E21</f>
        <v>21696900</v>
      </c>
      <c r="D21" s="90">
        <f>D17</f>
        <v>-29203078</v>
      </c>
      <c r="E21" s="90">
        <f>E17</f>
        <v>50899978</v>
      </c>
      <c r="F21" s="90">
        <f>F17</f>
        <v>50186020</v>
      </c>
    </row>
    <row r="22" spans="1:6" ht="13.5">
      <c r="A22" s="230" t="s">
        <v>398</v>
      </c>
      <c r="B22" s="231"/>
      <c r="C22" s="231"/>
      <c r="D22" s="231"/>
      <c r="E22" s="231"/>
      <c r="F22" s="232"/>
    </row>
    <row r="23" spans="1:6" ht="15">
      <c r="A23" s="26">
        <v>600000</v>
      </c>
      <c r="B23" s="27" t="s">
        <v>45</v>
      </c>
      <c r="C23" s="28">
        <f>D23+E23</f>
        <v>21696900</v>
      </c>
      <c r="D23" s="88">
        <f>D24</f>
        <v>-29203078</v>
      </c>
      <c r="E23" s="88">
        <f>E24</f>
        <v>50899978</v>
      </c>
      <c r="F23" s="88">
        <f>F24</f>
        <v>50186020</v>
      </c>
    </row>
    <row r="24" spans="1:6" ht="15">
      <c r="A24" s="26">
        <v>602000</v>
      </c>
      <c r="B24" s="27" t="s">
        <v>399</v>
      </c>
      <c r="C24" s="28">
        <f>D24+E24</f>
        <v>21696900</v>
      </c>
      <c r="D24" s="89">
        <f>D26+D25</f>
        <v>-29203078</v>
      </c>
      <c r="E24" s="89">
        <f>E26+E25</f>
        <v>50899978</v>
      </c>
      <c r="F24" s="89">
        <f>F26+F25</f>
        <v>50186020</v>
      </c>
    </row>
    <row r="25" spans="1:6" ht="15">
      <c r="A25" s="26">
        <v>602100</v>
      </c>
      <c r="B25" s="27" t="s">
        <v>539</v>
      </c>
      <c r="C25" s="28">
        <f>D25+E25</f>
        <v>21696900</v>
      </c>
      <c r="D25" s="89">
        <v>16262108</v>
      </c>
      <c r="E25" s="89">
        <v>5434792</v>
      </c>
      <c r="F25" s="89">
        <v>4720834</v>
      </c>
    </row>
    <row r="26" spans="1:6" ht="30" customHeight="1">
      <c r="A26" s="26">
        <v>602400</v>
      </c>
      <c r="B26" s="27" t="s">
        <v>397</v>
      </c>
      <c r="C26" s="28"/>
      <c r="D26" s="89">
        <f>-35917919-9547267</f>
        <v>-45465186</v>
      </c>
      <c r="E26" s="89">
        <f>F26</f>
        <v>45465186</v>
      </c>
      <c r="F26" s="89">
        <f>35917919+9547267</f>
        <v>45465186</v>
      </c>
    </row>
    <row r="27" spans="1:6" ht="15">
      <c r="A27" s="29" t="s">
        <v>56</v>
      </c>
      <c r="B27" s="30" t="s">
        <v>44</v>
      </c>
      <c r="C27" s="31">
        <f>D27+E27</f>
        <v>21696900</v>
      </c>
      <c r="D27" s="90">
        <f>D23</f>
        <v>-29203078</v>
      </c>
      <c r="E27" s="90">
        <f>E23</f>
        <v>50899978</v>
      </c>
      <c r="F27" s="90">
        <f>F23</f>
        <v>50186020</v>
      </c>
    </row>
    <row r="31" spans="1:5" ht="18">
      <c r="A31" s="39" t="s">
        <v>573</v>
      </c>
      <c r="B31" s="39"/>
      <c r="C31" s="39"/>
      <c r="D31" s="81"/>
      <c r="E31" s="39" t="s">
        <v>574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5"/>
  <sheetViews>
    <sheetView showZeros="0" showOutlineSymbols="0" zoomScale="70" zoomScaleNormal="70" zoomScalePageLayoutView="0" workbookViewId="0" topLeftCell="I4">
      <selection activeCell="O5" sqref="O5"/>
    </sheetView>
  </sheetViews>
  <sheetFormatPr defaultColWidth="9.125" defaultRowHeight="12.75"/>
  <cols>
    <col min="1" max="1" width="17.625" style="13" customWidth="1"/>
    <col min="2" max="2" width="18.125" style="13" customWidth="1"/>
    <col min="3" max="3" width="15.375" style="13" customWidth="1"/>
    <col min="4" max="4" width="46.00390625" style="13" customWidth="1"/>
    <col min="5" max="5" width="32.50390625" style="15" bestFit="1" customWidth="1"/>
    <col min="6" max="6" width="29.375" style="15" customWidth="1"/>
    <col min="7" max="7" width="32.50390625" style="15" bestFit="1" customWidth="1"/>
    <col min="8" max="8" width="30.625" style="15" bestFit="1" customWidth="1"/>
    <col min="9" max="9" width="14.875" style="15" customWidth="1"/>
    <col min="10" max="10" width="30.625" style="15" bestFit="1" customWidth="1"/>
    <col min="11" max="11" width="46.875" style="15" bestFit="1" customWidth="1"/>
    <col min="12" max="12" width="32.50390625" style="15" bestFit="1" customWidth="1"/>
    <col min="13" max="13" width="28.875" style="15" bestFit="1" customWidth="1"/>
    <col min="14" max="14" width="21.125" style="15" customWidth="1"/>
    <col min="15" max="15" width="27.50390625" style="15" bestFit="1" customWidth="1"/>
    <col min="16" max="16" width="32.50390625" style="15" bestFit="1" customWidth="1"/>
    <col min="17" max="16384" width="9.125" style="13" customWidth="1"/>
  </cols>
  <sheetData>
    <row r="1" ht="22.5" hidden="1"/>
    <row r="2" spans="1:16" ht="27.75">
      <c r="A2" s="251"/>
      <c r="B2" s="12"/>
      <c r="I2" s="16"/>
      <c r="K2" s="38"/>
      <c r="L2" s="38"/>
      <c r="M2" s="38"/>
      <c r="O2" s="97" t="s">
        <v>569</v>
      </c>
      <c r="P2" s="97"/>
    </row>
    <row r="3" spans="1:16" ht="27" customHeight="1">
      <c r="A3" s="251"/>
      <c r="B3" s="12"/>
      <c r="I3" s="16"/>
      <c r="K3" s="38"/>
      <c r="L3" s="38"/>
      <c r="M3" s="38"/>
      <c r="O3" s="97" t="s">
        <v>571</v>
      </c>
      <c r="P3" s="97"/>
    </row>
    <row r="4" spans="1:16" ht="27" customHeight="1">
      <c r="A4" s="251"/>
      <c r="B4" s="12"/>
      <c r="I4" s="16"/>
      <c r="K4" s="38"/>
      <c r="L4" s="38"/>
      <c r="M4" s="38"/>
      <c r="O4" s="98" t="s">
        <v>575</v>
      </c>
      <c r="P4" s="98"/>
    </row>
    <row r="5" spans="10:16" ht="27" customHeight="1">
      <c r="J5" s="13"/>
      <c r="K5" s="38"/>
      <c r="L5" s="38"/>
      <c r="M5" s="38"/>
      <c r="N5" s="13"/>
      <c r="O5" s="98" t="s">
        <v>579</v>
      </c>
      <c r="P5" s="98"/>
    </row>
    <row r="6" spans="10:16" ht="22.5" hidden="1">
      <c r="J6" s="4"/>
      <c r="K6" s="17"/>
      <c r="L6" s="17"/>
      <c r="M6" s="17"/>
      <c r="N6" s="17"/>
      <c r="O6" s="17"/>
      <c r="P6" s="17"/>
    </row>
    <row r="7" spans="10:16" ht="22.5">
      <c r="J7" s="4"/>
      <c r="K7" s="17"/>
      <c r="L7" s="17"/>
      <c r="M7" s="17"/>
      <c r="N7" s="17"/>
      <c r="O7" s="17"/>
      <c r="P7" s="17"/>
    </row>
    <row r="8" spans="1:16" s="39" customFormat="1" ht="27">
      <c r="A8" s="242" t="s">
        <v>479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6" ht="21">
      <c r="A9" s="195">
        <v>21528000000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16.5" customHeight="1">
      <c r="A10" s="14" t="s">
        <v>58</v>
      </c>
    </row>
    <row r="11" ht="22.5">
      <c r="P11" s="18" t="s">
        <v>35</v>
      </c>
    </row>
    <row r="12" spans="1:16" ht="71.25" customHeight="1">
      <c r="A12" s="252" t="s">
        <v>60</v>
      </c>
      <c r="B12" s="240" t="s">
        <v>61</v>
      </c>
      <c r="C12" s="240" t="s">
        <v>47</v>
      </c>
      <c r="D12" s="240" t="s">
        <v>62</v>
      </c>
      <c r="E12" s="245" t="s">
        <v>38</v>
      </c>
      <c r="F12" s="246"/>
      <c r="G12" s="246"/>
      <c r="H12" s="246"/>
      <c r="I12" s="247"/>
      <c r="J12" s="245" t="s">
        <v>39</v>
      </c>
      <c r="K12" s="246"/>
      <c r="L12" s="246"/>
      <c r="M12" s="246"/>
      <c r="N12" s="246"/>
      <c r="O12" s="247"/>
      <c r="P12" s="254" t="s">
        <v>48</v>
      </c>
    </row>
    <row r="13" spans="1:16" ht="13.5" thickBot="1">
      <c r="A13" s="253"/>
      <c r="B13" s="241"/>
      <c r="C13" s="241"/>
      <c r="D13" s="241"/>
      <c r="E13" s="248"/>
      <c r="F13" s="249"/>
      <c r="G13" s="249"/>
      <c r="H13" s="249"/>
      <c r="I13" s="250"/>
      <c r="J13" s="248"/>
      <c r="K13" s="249"/>
      <c r="L13" s="249"/>
      <c r="M13" s="249"/>
      <c r="N13" s="249"/>
      <c r="O13" s="250"/>
      <c r="P13" s="255"/>
    </row>
    <row r="14" spans="1:16" ht="36" customHeight="1" thickBot="1">
      <c r="A14" s="253"/>
      <c r="B14" s="241"/>
      <c r="C14" s="241"/>
      <c r="D14" s="241"/>
      <c r="E14" s="243" t="s">
        <v>40</v>
      </c>
      <c r="F14" s="243" t="s">
        <v>49</v>
      </c>
      <c r="G14" s="256" t="s">
        <v>50</v>
      </c>
      <c r="H14" s="257"/>
      <c r="I14" s="243" t="s">
        <v>51</v>
      </c>
      <c r="J14" s="243" t="s">
        <v>40</v>
      </c>
      <c r="K14" s="243" t="s">
        <v>41</v>
      </c>
      <c r="L14" s="243" t="s">
        <v>49</v>
      </c>
      <c r="M14" s="256" t="s">
        <v>50</v>
      </c>
      <c r="N14" s="257"/>
      <c r="O14" s="243" t="s">
        <v>51</v>
      </c>
      <c r="P14" s="255"/>
    </row>
    <row r="15" spans="1:16" ht="54" thickBot="1">
      <c r="A15" s="253"/>
      <c r="B15" s="241"/>
      <c r="C15" s="241"/>
      <c r="D15" s="241"/>
      <c r="E15" s="244"/>
      <c r="F15" s="244"/>
      <c r="G15" s="129" t="s">
        <v>52</v>
      </c>
      <c r="H15" s="129" t="s">
        <v>53</v>
      </c>
      <c r="I15" s="244"/>
      <c r="J15" s="244"/>
      <c r="K15" s="244"/>
      <c r="L15" s="244"/>
      <c r="M15" s="129" t="s">
        <v>52</v>
      </c>
      <c r="N15" s="129" t="s">
        <v>53</v>
      </c>
      <c r="O15" s="244"/>
      <c r="P15" s="255"/>
    </row>
    <row r="16" spans="1:16" s="25" customFormat="1" ht="18" thickBot="1">
      <c r="A16" s="162">
        <v>1</v>
      </c>
      <c r="B16" s="163">
        <v>2</v>
      </c>
      <c r="C16" s="163">
        <v>3</v>
      </c>
      <c r="D16" s="163">
        <v>4</v>
      </c>
      <c r="E16" s="163">
        <v>5</v>
      </c>
      <c r="F16" s="163">
        <v>6</v>
      </c>
      <c r="G16" s="163">
        <v>7</v>
      </c>
      <c r="H16" s="163">
        <v>8</v>
      </c>
      <c r="I16" s="163">
        <v>9</v>
      </c>
      <c r="J16" s="163">
        <v>10</v>
      </c>
      <c r="K16" s="163">
        <v>11</v>
      </c>
      <c r="L16" s="163">
        <v>12</v>
      </c>
      <c r="M16" s="163">
        <v>13</v>
      </c>
      <c r="N16" s="163">
        <v>14</v>
      </c>
      <c r="O16" s="163">
        <v>15</v>
      </c>
      <c r="P16" s="164">
        <v>16</v>
      </c>
    </row>
    <row r="17" spans="1:16" s="21" customFormat="1" ht="72">
      <c r="A17" s="151" t="s">
        <v>72</v>
      </c>
      <c r="B17" s="151"/>
      <c r="C17" s="151"/>
      <c r="D17" s="130" t="s">
        <v>73</v>
      </c>
      <c r="E17" s="167">
        <f>E18</f>
        <v>109377692</v>
      </c>
      <c r="F17" s="167">
        <f aca="true" t="shared" si="0" ref="F17:O17">F18</f>
        <v>109377692</v>
      </c>
      <c r="G17" s="167">
        <f t="shared" si="0"/>
        <v>20651211</v>
      </c>
      <c r="H17" s="167">
        <f t="shared" si="0"/>
        <v>1035754</v>
      </c>
      <c r="I17" s="167">
        <f t="shared" si="0"/>
        <v>0</v>
      </c>
      <c r="J17" s="167">
        <f t="shared" si="0"/>
        <v>30828478</v>
      </c>
      <c r="K17" s="167">
        <f t="shared" si="0"/>
        <v>29838520</v>
      </c>
      <c r="L17" s="167">
        <f t="shared" si="0"/>
        <v>709958</v>
      </c>
      <c r="M17" s="167">
        <f t="shared" si="0"/>
        <v>18300</v>
      </c>
      <c r="N17" s="167">
        <f t="shared" si="0"/>
        <v>12590</v>
      </c>
      <c r="O17" s="167">
        <f t="shared" si="0"/>
        <v>30118520</v>
      </c>
      <c r="P17" s="167">
        <f>E17+J17</f>
        <v>140206170</v>
      </c>
    </row>
    <row r="18" spans="1:16" s="21" customFormat="1" ht="76.5" customHeight="1">
      <c r="A18" s="152" t="s">
        <v>74</v>
      </c>
      <c r="B18" s="152"/>
      <c r="C18" s="152"/>
      <c r="D18" s="131" t="s">
        <v>73</v>
      </c>
      <c r="E18" s="168">
        <f>E19+E23+E25+E32+E33+E34+E40+E41+E42+E43+E44+E45+E47+E48+E49+E50+E51+E52+E53+E54+E55+E56+E57+E58+E59+E60+E61+E62+E63+E64+E65</f>
        <v>109377692</v>
      </c>
      <c r="F18" s="168">
        <f aca="true" t="shared" si="1" ref="F18:O18">F19+F23+F25+F32+F33+F34+F40+F41+F42+F43+F44+F45+F47+F48+F49+F50+F51+F52+F53+F54+F55+F56+F57+F58+F59+F60+F61+F62+F63+F64+F65</f>
        <v>109377692</v>
      </c>
      <c r="G18" s="168">
        <f t="shared" si="1"/>
        <v>20651211</v>
      </c>
      <c r="H18" s="168">
        <f t="shared" si="1"/>
        <v>1035754</v>
      </c>
      <c r="I18" s="168">
        <f t="shared" si="1"/>
        <v>0</v>
      </c>
      <c r="J18" s="168">
        <f t="shared" si="1"/>
        <v>30828478</v>
      </c>
      <c r="K18" s="168">
        <f t="shared" si="1"/>
        <v>29838520</v>
      </c>
      <c r="L18" s="168">
        <f t="shared" si="1"/>
        <v>709958</v>
      </c>
      <c r="M18" s="168">
        <f t="shared" si="1"/>
        <v>18300</v>
      </c>
      <c r="N18" s="168">
        <f t="shared" si="1"/>
        <v>12590</v>
      </c>
      <c r="O18" s="168">
        <f t="shared" si="1"/>
        <v>30118520</v>
      </c>
      <c r="P18" s="168">
        <f aca="true" t="shared" si="2" ref="P18:P99">E18+J18</f>
        <v>140206170</v>
      </c>
    </row>
    <row r="19" spans="1:16" ht="230.25" customHeight="1">
      <c r="A19" s="153" t="s">
        <v>75</v>
      </c>
      <c r="B19" s="153" t="s">
        <v>76</v>
      </c>
      <c r="C19" s="153" t="s">
        <v>77</v>
      </c>
      <c r="D19" s="132" t="s">
        <v>78</v>
      </c>
      <c r="E19" s="169">
        <f>F19</f>
        <v>22805429</v>
      </c>
      <c r="F19" s="169">
        <f>F21+F22</f>
        <v>22805429</v>
      </c>
      <c r="G19" s="169">
        <f aca="true" t="shared" si="3" ref="G19:N19">G21+G22</f>
        <v>19954375</v>
      </c>
      <c r="H19" s="169">
        <f t="shared" si="3"/>
        <v>977510</v>
      </c>
      <c r="I19" s="169">
        <f t="shared" si="3"/>
        <v>0</v>
      </c>
      <c r="J19" s="169">
        <f>L19+O19</f>
        <v>188650</v>
      </c>
      <c r="K19" s="170">
        <f>K21+K22</f>
        <v>180650</v>
      </c>
      <c r="L19" s="169">
        <f t="shared" si="3"/>
        <v>8000</v>
      </c>
      <c r="M19" s="169">
        <f t="shared" si="3"/>
        <v>0</v>
      </c>
      <c r="N19" s="169">
        <f t="shared" si="3"/>
        <v>0</v>
      </c>
      <c r="O19" s="169">
        <f>K19</f>
        <v>180650</v>
      </c>
      <c r="P19" s="170">
        <f t="shared" si="2"/>
        <v>22994079</v>
      </c>
    </row>
    <row r="20" spans="1:16" ht="24">
      <c r="A20" s="153"/>
      <c r="B20" s="153"/>
      <c r="C20" s="153"/>
      <c r="D20" s="132" t="s">
        <v>79</v>
      </c>
      <c r="E20" s="170"/>
      <c r="F20" s="170"/>
      <c r="G20" s="170"/>
      <c r="H20" s="170"/>
      <c r="I20" s="170"/>
      <c r="J20" s="169">
        <f aca="true" t="shared" si="4" ref="J20:J102">L20+O20</f>
        <v>0</v>
      </c>
      <c r="K20" s="170"/>
      <c r="L20" s="170"/>
      <c r="M20" s="170"/>
      <c r="N20" s="170"/>
      <c r="O20" s="169">
        <f aca="true" t="shared" si="5" ref="O20:O102">K20</f>
        <v>0</v>
      </c>
      <c r="P20" s="170">
        <f t="shared" si="2"/>
        <v>0</v>
      </c>
    </row>
    <row r="21" spans="1:16" ht="73.5">
      <c r="A21" s="153"/>
      <c r="B21" s="153"/>
      <c r="C21" s="153"/>
      <c r="D21" s="133" t="s">
        <v>80</v>
      </c>
      <c r="E21" s="170">
        <f>F21</f>
        <v>20774212</v>
      </c>
      <c r="F21" s="170">
        <f>19539476+834905+198326+43515+157990</f>
        <v>20774212</v>
      </c>
      <c r="G21" s="170">
        <f>17654353+834905</f>
        <v>18489258</v>
      </c>
      <c r="H21" s="170">
        <v>710923</v>
      </c>
      <c r="I21" s="170"/>
      <c r="J21" s="169">
        <f t="shared" si="4"/>
        <v>180650</v>
      </c>
      <c r="K21" s="170">
        <f>180650</f>
        <v>180650</v>
      </c>
      <c r="L21" s="170"/>
      <c r="M21" s="170"/>
      <c r="N21" s="170"/>
      <c r="O21" s="169">
        <f t="shared" si="5"/>
        <v>180650</v>
      </c>
      <c r="P21" s="170">
        <f t="shared" si="2"/>
        <v>20954862</v>
      </c>
    </row>
    <row r="22" spans="1:16" ht="73.5">
      <c r="A22" s="153"/>
      <c r="B22" s="153"/>
      <c r="C22" s="153"/>
      <c r="D22" s="133" t="s">
        <v>81</v>
      </c>
      <c r="E22" s="170">
        <f>F22</f>
        <v>2031217</v>
      </c>
      <c r="F22" s="170">
        <f>1964545+66672</f>
        <v>2031217</v>
      </c>
      <c r="G22" s="170">
        <f>1398445+66672</f>
        <v>1465117</v>
      </c>
      <c r="H22" s="170">
        <v>266587</v>
      </c>
      <c r="I22" s="170"/>
      <c r="J22" s="169">
        <f t="shared" si="4"/>
        <v>8000</v>
      </c>
      <c r="K22" s="170"/>
      <c r="L22" s="170">
        <v>8000</v>
      </c>
      <c r="M22" s="170"/>
      <c r="N22" s="170"/>
      <c r="O22" s="169">
        <f t="shared" si="5"/>
        <v>0</v>
      </c>
      <c r="P22" s="170">
        <f t="shared" si="2"/>
        <v>2039217</v>
      </c>
    </row>
    <row r="23" spans="1:16" ht="48.75">
      <c r="A23" s="153" t="s">
        <v>82</v>
      </c>
      <c r="B23" s="153" t="s">
        <v>83</v>
      </c>
      <c r="C23" s="153" t="s">
        <v>84</v>
      </c>
      <c r="D23" s="133" t="s">
        <v>85</v>
      </c>
      <c r="E23" s="170">
        <f>F23</f>
        <v>759115</v>
      </c>
      <c r="F23" s="170">
        <f>F24</f>
        <v>759115</v>
      </c>
      <c r="G23" s="170">
        <f aca="true" t="shared" si="6" ref="G23:N23">G24</f>
        <v>696836</v>
      </c>
      <c r="H23" s="170">
        <f t="shared" si="6"/>
        <v>58244</v>
      </c>
      <c r="I23" s="170">
        <f t="shared" si="6"/>
        <v>0</v>
      </c>
      <c r="J23" s="170">
        <f t="shared" si="6"/>
        <v>56000</v>
      </c>
      <c r="K23" s="170">
        <f t="shared" si="6"/>
        <v>0</v>
      </c>
      <c r="L23" s="170">
        <f t="shared" si="6"/>
        <v>56000</v>
      </c>
      <c r="M23" s="170">
        <f t="shared" si="6"/>
        <v>18300</v>
      </c>
      <c r="N23" s="170">
        <f t="shared" si="6"/>
        <v>12590</v>
      </c>
      <c r="O23" s="169">
        <f t="shared" si="5"/>
        <v>0</v>
      </c>
      <c r="P23" s="170">
        <f t="shared" si="2"/>
        <v>815115</v>
      </c>
    </row>
    <row r="24" spans="1:16" ht="98.25">
      <c r="A24" s="136"/>
      <c r="B24" s="136"/>
      <c r="C24" s="136"/>
      <c r="D24" s="133" t="s">
        <v>86</v>
      </c>
      <c r="E24" s="170">
        <f>F24</f>
        <v>759115</v>
      </c>
      <c r="F24" s="170">
        <v>759115</v>
      </c>
      <c r="G24" s="170">
        <v>696836</v>
      </c>
      <c r="H24" s="170">
        <v>58244</v>
      </c>
      <c r="I24" s="170"/>
      <c r="J24" s="169">
        <f t="shared" si="4"/>
        <v>56000</v>
      </c>
      <c r="K24" s="170"/>
      <c r="L24" s="170">
        <v>56000</v>
      </c>
      <c r="M24" s="170">
        <v>18300</v>
      </c>
      <c r="N24" s="170">
        <v>12590</v>
      </c>
      <c r="O24" s="169">
        <f t="shared" si="5"/>
        <v>0</v>
      </c>
      <c r="P24" s="170">
        <f t="shared" si="2"/>
        <v>815115</v>
      </c>
    </row>
    <row r="25" spans="1:16" ht="73.5">
      <c r="A25" s="153" t="s">
        <v>87</v>
      </c>
      <c r="B25" s="153" t="s">
        <v>88</v>
      </c>
      <c r="C25" s="153" t="s">
        <v>89</v>
      </c>
      <c r="D25" s="133" t="s">
        <v>90</v>
      </c>
      <c r="E25" s="170">
        <f>E31+E27</f>
        <v>25064207</v>
      </c>
      <c r="F25" s="170">
        <f>F31+F27</f>
        <v>25064207</v>
      </c>
      <c r="G25" s="170">
        <f>G31+G27</f>
        <v>0</v>
      </c>
      <c r="H25" s="170">
        <f>H31+H27</f>
        <v>0</v>
      </c>
      <c r="I25" s="170">
        <f>I31+I27</f>
        <v>0</v>
      </c>
      <c r="J25" s="169">
        <f aca="true" t="shared" si="7" ref="J25:O25">J27+J28+J29+J30+J31</f>
        <v>5594400</v>
      </c>
      <c r="K25" s="169">
        <f t="shared" si="7"/>
        <v>5594400</v>
      </c>
      <c r="L25" s="169">
        <f t="shared" si="7"/>
        <v>0</v>
      </c>
      <c r="M25" s="169">
        <f t="shared" si="7"/>
        <v>0</v>
      </c>
      <c r="N25" s="169">
        <f t="shared" si="7"/>
        <v>0</v>
      </c>
      <c r="O25" s="169">
        <f t="shared" si="7"/>
        <v>5594400</v>
      </c>
      <c r="P25" s="170">
        <f t="shared" si="2"/>
        <v>30658607</v>
      </c>
    </row>
    <row r="26" spans="1:16" ht="24" hidden="1">
      <c r="A26" s="153"/>
      <c r="B26" s="153"/>
      <c r="C26" s="153"/>
      <c r="D26" s="133" t="s">
        <v>79</v>
      </c>
      <c r="E26" s="170"/>
      <c r="F26" s="170"/>
      <c r="G26" s="170"/>
      <c r="H26" s="170"/>
      <c r="I26" s="170"/>
      <c r="J26" s="169">
        <f t="shared" si="4"/>
        <v>0</v>
      </c>
      <c r="K26" s="170"/>
      <c r="L26" s="170"/>
      <c r="M26" s="170"/>
      <c r="N26" s="170"/>
      <c r="O26" s="169">
        <f t="shared" si="5"/>
        <v>0</v>
      </c>
      <c r="P26" s="170">
        <f t="shared" si="2"/>
        <v>0</v>
      </c>
    </row>
    <row r="27" spans="1:16" ht="48.75" hidden="1">
      <c r="A27" s="153"/>
      <c r="B27" s="153"/>
      <c r="C27" s="153"/>
      <c r="D27" s="133" t="s">
        <v>91</v>
      </c>
      <c r="E27" s="170">
        <f>F27+I27</f>
        <v>13792455</v>
      </c>
      <c r="F27" s="170">
        <f>13792400+55</f>
        <v>13792455</v>
      </c>
      <c r="G27" s="170"/>
      <c r="H27" s="170"/>
      <c r="I27" s="170"/>
      <c r="J27" s="169">
        <f t="shared" si="4"/>
        <v>0</v>
      </c>
      <c r="K27" s="170"/>
      <c r="L27" s="170"/>
      <c r="M27" s="170"/>
      <c r="N27" s="170"/>
      <c r="O27" s="169">
        <f t="shared" si="5"/>
        <v>0</v>
      </c>
      <c r="P27" s="170">
        <f t="shared" si="2"/>
        <v>13792455</v>
      </c>
    </row>
    <row r="28" spans="1:16" ht="221.25" hidden="1">
      <c r="A28" s="153"/>
      <c r="B28" s="153"/>
      <c r="C28" s="153"/>
      <c r="D28" s="133" t="s">
        <v>92</v>
      </c>
      <c r="E28" s="170"/>
      <c r="F28" s="170"/>
      <c r="G28" s="170"/>
      <c r="H28" s="170"/>
      <c r="I28" s="170"/>
      <c r="J28" s="169">
        <f t="shared" si="4"/>
        <v>0</v>
      </c>
      <c r="K28" s="170"/>
      <c r="L28" s="170"/>
      <c r="M28" s="170"/>
      <c r="N28" s="170"/>
      <c r="O28" s="169">
        <f t="shared" si="5"/>
        <v>0</v>
      </c>
      <c r="P28" s="170">
        <f t="shared" si="2"/>
        <v>0</v>
      </c>
    </row>
    <row r="29" spans="1:16" ht="123" hidden="1">
      <c r="A29" s="153"/>
      <c r="B29" s="153"/>
      <c r="C29" s="153"/>
      <c r="D29" s="134" t="s">
        <v>93</v>
      </c>
      <c r="E29" s="170"/>
      <c r="F29" s="170"/>
      <c r="G29" s="170"/>
      <c r="H29" s="170"/>
      <c r="I29" s="170"/>
      <c r="J29" s="169">
        <f t="shared" si="4"/>
        <v>0</v>
      </c>
      <c r="K29" s="170"/>
      <c r="L29" s="170"/>
      <c r="M29" s="170"/>
      <c r="N29" s="170"/>
      <c r="O29" s="169">
        <f t="shared" si="5"/>
        <v>0</v>
      </c>
      <c r="P29" s="170">
        <f t="shared" si="2"/>
        <v>0</v>
      </c>
    </row>
    <row r="30" spans="1:16" ht="221.25" hidden="1">
      <c r="A30" s="153"/>
      <c r="B30" s="153"/>
      <c r="C30" s="153"/>
      <c r="D30" s="135" t="s">
        <v>92</v>
      </c>
      <c r="E30" s="170"/>
      <c r="F30" s="170"/>
      <c r="G30" s="170"/>
      <c r="H30" s="170"/>
      <c r="I30" s="170"/>
      <c r="J30" s="169">
        <f t="shared" si="4"/>
        <v>0</v>
      </c>
      <c r="K30" s="170"/>
      <c r="L30" s="170"/>
      <c r="M30" s="170"/>
      <c r="N30" s="170"/>
      <c r="O30" s="169">
        <f t="shared" si="5"/>
        <v>0</v>
      </c>
      <c r="P30" s="170">
        <f t="shared" si="2"/>
        <v>0</v>
      </c>
    </row>
    <row r="31" spans="1:16" ht="24" hidden="1">
      <c r="A31" s="153"/>
      <c r="B31" s="153"/>
      <c r="C31" s="153"/>
      <c r="D31" s="133" t="s">
        <v>94</v>
      </c>
      <c r="E31" s="170">
        <f>F31</f>
        <v>11271752</v>
      </c>
      <c r="F31" s="170">
        <f>10009603-20539+1098750+183938</f>
        <v>11271752</v>
      </c>
      <c r="G31" s="170"/>
      <c r="H31" s="170"/>
      <c r="I31" s="170"/>
      <c r="J31" s="169">
        <f t="shared" si="4"/>
        <v>5594400</v>
      </c>
      <c r="K31" s="170">
        <f>4727000+767500+99900</f>
        <v>5594400</v>
      </c>
      <c r="L31" s="170"/>
      <c r="M31" s="170"/>
      <c r="N31" s="170"/>
      <c r="O31" s="169">
        <f t="shared" si="5"/>
        <v>5594400</v>
      </c>
      <c r="P31" s="170">
        <f t="shared" si="2"/>
        <v>16866152</v>
      </c>
    </row>
    <row r="32" spans="1:16" ht="123">
      <c r="A32" s="153" t="s">
        <v>99</v>
      </c>
      <c r="B32" s="153" t="s">
        <v>100</v>
      </c>
      <c r="C32" s="153" t="s">
        <v>101</v>
      </c>
      <c r="D32" s="133" t="s">
        <v>102</v>
      </c>
      <c r="E32" s="170">
        <f>F32</f>
        <v>878844</v>
      </c>
      <c r="F32" s="170">
        <f>680360+49908+13500+77015+58061</f>
        <v>878844</v>
      </c>
      <c r="G32" s="170"/>
      <c r="H32" s="170"/>
      <c r="I32" s="170"/>
      <c r="J32" s="169">
        <f t="shared" si="4"/>
        <v>48000</v>
      </c>
      <c r="K32" s="170">
        <f>48000</f>
        <v>48000</v>
      </c>
      <c r="L32" s="170"/>
      <c r="M32" s="170"/>
      <c r="N32" s="170"/>
      <c r="O32" s="169">
        <f t="shared" si="5"/>
        <v>48000</v>
      </c>
      <c r="P32" s="170">
        <f t="shared" si="2"/>
        <v>926844</v>
      </c>
    </row>
    <row r="33" spans="1:16" ht="98.25">
      <c r="A33" s="153" t="s">
        <v>402</v>
      </c>
      <c r="B33" s="153" t="s">
        <v>403</v>
      </c>
      <c r="C33" s="153" t="s">
        <v>97</v>
      </c>
      <c r="D33" s="133" t="s">
        <v>404</v>
      </c>
      <c r="E33" s="170">
        <f>F33</f>
        <v>649918</v>
      </c>
      <c r="F33" s="170">
        <f>432000+217918</f>
        <v>649918</v>
      </c>
      <c r="G33" s="170"/>
      <c r="H33" s="170"/>
      <c r="I33" s="170"/>
      <c r="J33" s="169"/>
      <c r="K33" s="170"/>
      <c r="L33" s="170"/>
      <c r="M33" s="170"/>
      <c r="N33" s="170"/>
      <c r="O33" s="169"/>
      <c r="P33" s="170">
        <f t="shared" si="2"/>
        <v>649918</v>
      </c>
    </row>
    <row r="34" spans="1:16" ht="48.75">
      <c r="A34" s="153" t="s">
        <v>95</v>
      </c>
      <c r="B34" s="153" t="s">
        <v>96</v>
      </c>
      <c r="C34" s="153" t="s">
        <v>97</v>
      </c>
      <c r="D34" s="133" t="s">
        <v>98</v>
      </c>
      <c r="E34" s="170">
        <f aca="true" t="shared" si="8" ref="E34:O34">SUM(E35:E39)</f>
        <v>6135480</v>
      </c>
      <c r="F34" s="170">
        <f t="shared" si="8"/>
        <v>6135480</v>
      </c>
      <c r="G34" s="170">
        <f t="shared" si="8"/>
        <v>0</v>
      </c>
      <c r="H34" s="170">
        <f t="shared" si="8"/>
        <v>0</v>
      </c>
      <c r="I34" s="170">
        <f t="shared" si="8"/>
        <v>0</v>
      </c>
      <c r="J34" s="170">
        <f t="shared" si="8"/>
        <v>0</v>
      </c>
      <c r="K34" s="170">
        <f t="shared" si="8"/>
        <v>0</v>
      </c>
      <c r="L34" s="170">
        <f t="shared" si="8"/>
        <v>0</v>
      </c>
      <c r="M34" s="170">
        <f t="shared" si="8"/>
        <v>0</v>
      </c>
      <c r="N34" s="170">
        <f t="shared" si="8"/>
        <v>0</v>
      </c>
      <c r="O34" s="170">
        <f t="shared" si="8"/>
        <v>0</v>
      </c>
      <c r="P34" s="170">
        <f t="shared" si="2"/>
        <v>6135480</v>
      </c>
    </row>
    <row r="35" spans="1:16" ht="24" hidden="1">
      <c r="A35" s="136"/>
      <c r="B35" s="136"/>
      <c r="C35" s="136"/>
      <c r="D35" s="136" t="s">
        <v>103</v>
      </c>
      <c r="E35" s="170">
        <f aca="true" t="shared" si="9" ref="E35:E42">F35</f>
        <v>1199000</v>
      </c>
      <c r="F35" s="170">
        <f>1000000+199000</f>
        <v>1199000</v>
      </c>
      <c r="G35" s="170"/>
      <c r="H35" s="170"/>
      <c r="I35" s="170"/>
      <c r="J35" s="169">
        <f t="shared" si="4"/>
        <v>0</v>
      </c>
      <c r="K35" s="170"/>
      <c r="L35" s="170"/>
      <c r="M35" s="170"/>
      <c r="N35" s="170"/>
      <c r="O35" s="169">
        <f t="shared" si="5"/>
        <v>0</v>
      </c>
      <c r="P35" s="170">
        <f t="shared" si="2"/>
        <v>1199000</v>
      </c>
    </row>
    <row r="36" spans="1:16" ht="24" hidden="1">
      <c r="A36" s="136"/>
      <c r="B36" s="136"/>
      <c r="C36" s="136"/>
      <c r="D36" s="136" t="s">
        <v>104</v>
      </c>
      <c r="E36" s="170">
        <f t="shared" si="9"/>
        <v>4633980</v>
      </c>
      <c r="F36" s="170">
        <f>5010600-476620+100000</f>
        <v>4633980</v>
      </c>
      <c r="G36" s="170"/>
      <c r="H36" s="170"/>
      <c r="I36" s="170"/>
      <c r="J36" s="169">
        <f t="shared" si="4"/>
        <v>0</v>
      </c>
      <c r="K36" s="170"/>
      <c r="L36" s="170"/>
      <c r="M36" s="170"/>
      <c r="N36" s="170"/>
      <c r="O36" s="169">
        <f t="shared" si="5"/>
        <v>0</v>
      </c>
      <c r="P36" s="170">
        <f t="shared" si="2"/>
        <v>4633980</v>
      </c>
    </row>
    <row r="37" spans="1:16" ht="24" hidden="1">
      <c r="A37" s="136"/>
      <c r="B37" s="136"/>
      <c r="C37" s="136"/>
      <c r="D37" s="136" t="s">
        <v>514</v>
      </c>
      <c r="E37" s="170">
        <f t="shared" si="9"/>
        <v>80000</v>
      </c>
      <c r="F37" s="170">
        <f>80000</f>
        <v>80000</v>
      </c>
      <c r="G37" s="170"/>
      <c r="H37" s="170"/>
      <c r="I37" s="170"/>
      <c r="J37" s="169"/>
      <c r="K37" s="170"/>
      <c r="L37" s="170"/>
      <c r="M37" s="170"/>
      <c r="N37" s="170"/>
      <c r="O37" s="169"/>
      <c r="P37" s="170"/>
    </row>
    <row r="38" spans="1:16" ht="48.75" hidden="1">
      <c r="A38" s="136"/>
      <c r="B38" s="136"/>
      <c r="C38" s="136"/>
      <c r="D38" s="136" t="s">
        <v>515</v>
      </c>
      <c r="E38" s="170">
        <f t="shared" si="9"/>
        <v>100000</v>
      </c>
      <c r="F38" s="170">
        <v>100000</v>
      </c>
      <c r="G38" s="170"/>
      <c r="H38" s="170"/>
      <c r="I38" s="170"/>
      <c r="J38" s="169"/>
      <c r="K38" s="170"/>
      <c r="L38" s="170"/>
      <c r="M38" s="170"/>
      <c r="N38" s="170"/>
      <c r="O38" s="169"/>
      <c r="P38" s="170"/>
    </row>
    <row r="39" spans="1:16" ht="24" hidden="1">
      <c r="A39" s="136"/>
      <c r="B39" s="136"/>
      <c r="C39" s="136"/>
      <c r="D39" s="136" t="s">
        <v>533</v>
      </c>
      <c r="E39" s="170">
        <f>F39</f>
        <v>122500</v>
      </c>
      <c r="F39" s="170">
        <v>122500</v>
      </c>
      <c r="G39" s="170"/>
      <c r="H39" s="170"/>
      <c r="I39" s="170"/>
      <c r="J39" s="169"/>
      <c r="K39" s="170"/>
      <c r="L39" s="170"/>
      <c r="M39" s="170"/>
      <c r="N39" s="170"/>
      <c r="O39" s="169"/>
      <c r="P39" s="170"/>
    </row>
    <row r="40" spans="1:16" ht="73.5">
      <c r="A40" s="153" t="s">
        <v>105</v>
      </c>
      <c r="B40" s="153" t="s">
        <v>106</v>
      </c>
      <c r="C40" s="154" t="s">
        <v>107</v>
      </c>
      <c r="D40" s="132" t="s">
        <v>108</v>
      </c>
      <c r="E40" s="170">
        <f t="shared" si="9"/>
        <v>5000</v>
      </c>
      <c r="F40" s="170">
        <v>5000</v>
      </c>
      <c r="G40" s="170"/>
      <c r="H40" s="170"/>
      <c r="I40" s="170"/>
      <c r="J40" s="169">
        <f t="shared" si="4"/>
        <v>0</v>
      </c>
      <c r="K40" s="170"/>
      <c r="L40" s="170"/>
      <c r="M40" s="170"/>
      <c r="N40" s="170"/>
      <c r="O40" s="169">
        <f t="shared" si="5"/>
        <v>0</v>
      </c>
      <c r="P40" s="170">
        <f t="shared" si="2"/>
        <v>5000</v>
      </c>
    </row>
    <row r="41" spans="1:16" ht="73.5">
      <c r="A41" s="153" t="s">
        <v>109</v>
      </c>
      <c r="B41" s="153" t="s">
        <v>110</v>
      </c>
      <c r="C41" s="153" t="s">
        <v>111</v>
      </c>
      <c r="D41" s="133" t="s">
        <v>112</v>
      </c>
      <c r="E41" s="170">
        <f t="shared" si="9"/>
        <v>126000</v>
      </c>
      <c r="F41" s="170">
        <f>94000+32000</f>
        <v>126000</v>
      </c>
      <c r="G41" s="170"/>
      <c r="H41" s="170"/>
      <c r="I41" s="170"/>
      <c r="J41" s="169">
        <f t="shared" si="4"/>
        <v>0</v>
      </c>
      <c r="K41" s="170"/>
      <c r="L41" s="170"/>
      <c r="M41" s="170"/>
      <c r="N41" s="170"/>
      <c r="O41" s="169">
        <f t="shared" si="5"/>
        <v>0</v>
      </c>
      <c r="P41" s="170">
        <f t="shared" si="2"/>
        <v>126000</v>
      </c>
    </row>
    <row r="42" spans="1:16" ht="48.75">
      <c r="A42" s="153" t="s">
        <v>516</v>
      </c>
      <c r="B42" s="153" t="s">
        <v>505</v>
      </c>
      <c r="C42" s="153" t="s">
        <v>506</v>
      </c>
      <c r="D42" s="133" t="s">
        <v>507</v>
      </c>
      <c r="E42" s="170">
        <f t="shared" si="9"/>
        <v>89320</v>
      </c>
      <c r="F42" s="170">
        <v>89320</v>
      </c>
      <c r="G42" s="170"/>
      <c r="H42" s="170"/>
      <c r="I42" s="170"/>
      <c r="J42" s="169"/>
      <c r="K42" s="170"/>
      <c r="L42" s="170"/>
      <c r="M42" s="170"/>
      <c r="N42" s="170"/>
      <c r="O42" s="169"/>
      <c r="P42" s="170">
        <f t="shared" si="2"/>
        <v>89320</v>
      </c>
    </row>
    <row r="43" spans="1:16" ht="73.5">
      <c r="A43" s="153" t="s">
        <v>113</v>
      </c>
      <c r="B43" s="153" t="s">
        <v>114</v>
      </c>
      <c r="C43" s="153" t="s">
        <v>115</v>
      </c>
      <c r="D43" s="137" t="s">
        <v>116</v>
      </c>
      <c r="E43" s="170">
        <f aca="true" t="shared" si="10" ref="E43:E65">F43</f>
        <v>800000</v>
      </c>
      <c r="F43" s="170">
        <v>800000</v>
      </c>
      <c r="G43" s="170"/>
      <c r="H43" s="170"/>
      <c r="I43" s="170"/>
      <c r="J43" s="169">
        <f t="shared" si="4"/>
        <v>0</v>
      </c>
      <c r="K43" s="170"/>
      <c r="L43" s="170"/>
      <c r="M43" s="170"/>
      <c r="N43" s="170"/>
      <c r="O43" s="169">
        <f t="shared" si="5"/>
        <v>0</v>
      </c>
      <c r="P43" s="170">
        <f t="shared" si="2"/>
        <v>800000</v>
      </c>
    </row>
    <row r="44" spans="1:16" ht="98.25">
      <c r="A44" s="153" t="s">
        <v>117</v>
      </c>
      <c r="B44" s="153" t="s">
        <v>118</v>
      </c>
      <c r="C44" s="153" t="s">
        <v>119</v>
      </c>
      <c r="D44" s="133" t="s">
        <v>120</v>
      </c>
      <c r="E44" s="170">
        <f t="shared" si="10"/>
        <v>253522</v>
      </c>
      <c r="F44" s="170">
        <v>253522</v>
      </c>
      <c r="G44" s="170"/>
      <c r="H44" s="170"/>
      <c r="I44" s="170"/>
      <c r="J44" s="169">
        <f t="shared" si="4"/>
        <v>0</v>
      </c>
      <c r="K44" s="184"/>
      <c r="L44" s="170"/>
      <c r="M44" s="170"/>
      <c r="N44" s="170"/>
      <c r="O44" s="169">
        <f t="shared" si="5"/>
        <v>0</v>
      </c>
      <c r="P44" s="170">
        <f t="shared" si="2"/>
        <v>253522</v>
      </c>
    </row>
    <row r="45" spans="1:16" ht="48.75">
      <c r="A45" s="153" t="s">
        <v>121</v>
      </c>
      <c r="B45" s="153" t="s">
        <v>122</v>
      </c>
      <c r="C45" s="153" t="s">
        <v>119</v>
      </c>
      <c r="D45" s="133" t="s">
        <v>123</v>
      </c>
      <c r="E45" s="170">
        <f t="shared" si="10"/>
        <v>1184800</v>
      </c>
      <c r="F45" s="170">
        <v>1184800</v>
      </c>
      <c r="G45" s="170"/>
      <c r="H45" s="170"/>
      <c r="I45" s="170"/>
      <c r="J45" s="169">
        <f t="shared" si="4"/>
        <v>0</v>
      </c>
      <c r="K45" s="170"/>
      <c r="L45" s="170"/>
      <c r="M45" s="170"/>
      <c r="N45" s="170"/>
      <c r="O45" s="169">
        <f t="shared" si="5"/>
        <v>0</v>
      </c>
      <c r="P45" s="170">
        <f t="shared" si="2"/>
        <v>1184800</v>
      </c>
    </row>
    <row r="46" spans="1:16" ht="73.5" hidden="1">
      <c r="A46" s="153" t="s">
        <v>385</v>
      </c>
      <c r="B46" s="153" t="s">
        <v>386</v>
      </c>
      <c r="C46" s="153" t="s">
        <v>119</v>
      </c>
      <c r="D46" s="133" t="s">
        <v>387</v>
      </c>
      <c r="E46" s="170"/>
      <c r="F46" s="170"/>
      <c r="G46" s="170"/>
      <c r="H46" s="170"/>
      <c r="I46" s="170"/>
      <c r="J46" s="169">
        <f>L46+O46</f>
        <v>0</v>
      </c>
      <c r="K46" s="184"/>
      <c r="L46" s="170"/>
      <c r="M46" s="170"/>
      <c r="N46" s="170"/>
      <c r="O46" s="169">
        <f>K46</f>
        <v>0</v>
      </c>
      <c r="P46" s="170">
        <f>E46+J46</f>
        <v>0</v>
      </c>
    </row>
    <row r="47" spans="1:16" ht="98.25">
      <c r="A47" s="153" t="s">
        <v>124</v>
      </c>
      <c r="B47" s="153" t="s">
        <v>125</v>
      </c>
      <c r="C47" s="153" t="s">
        <v>119</v>
      </c>
      <c r="D47" s="133" t="s">
        <v>126</v>
      </c>
      <c r="E47" s="170">
        <f t="shared" si="10"/>
        <v>2000000</v>
      </c>
      <c r="F47" s="170">
        <v>2000000</v>
      </c>
      <c r="G47" s="170"/>
      <c r="H47" s="170"/>
      <c r="I47" s="170"/>
      <c r="J47" s="169">
        <f t="shared" si="4"/>
        <v>0</v>
      </c>
      <c r="K47" s="170"/>
      <c r="L47" s="170"/>
      <c r="M47" s="170"/>
      <c r="N47" s="170"/>
      <c r="O47" s="169">
        <f t="shared" si="5"/>
        <v>0</v>
      </c>
      <c r="P47" s="170">
        <f t="shared" si="2"/>
        <v>2000000</v>
      </c>
    </row>
    <row r="48" spans="1:16" ht="171.75">
      <c r="A48" s="153" t="s">
        <v>127</v>
      </c>
      <c r="B48" s="153" t="s">
        <v>128</v>
      </c>
      <c r="C48" s="153" t="s">
        <v>119</v>
      </c>
      <c r="D48" s="133" t="s">
        <v>129</v>
      </c>
      <c r="E48" s="170">
        <f t="shared" si="10"/>
        <v>1173268</v>
      </c>
      <c r="F48" s="170">
        <f>300000+400000+473268</f>
        <v>1173268</v>
      </c>
      <c r="G48" s="170"/>
      <c r="H48" s="170"/>
      <c r="I48" s="170"/>
      <c r="J48" s="169">
        <f t="shared" si="4"/>
        <v>0</v>
      </c>
      <c r="K48" s="170"/>
      <c r="L48" s="170"/>
      <c r="M48" s="170"/>
      <c r="N48" s="170"/>
      <c r="O48" s="169">
        <f t="shared" si="5"/>
        <v>0</v>
      </c>
      <c r="P48" s="170">
        <f t="shared" si="2"/>
        <v>1173268</v>
      </c>
    </row>
    <row r="49" spans="1:16" ht="48.75">
      <c r="A49" s="153" t="s">
        <v>130</v>
      </c>
      <c r="B49" s="153" t="s">
        <v>131</v>
      </c>
      <c r="C49" s="153" t="s">
        <v>119</v>
      </c>
      <c r="D49" s="133" t="s">
        <v>132</v>
      </c>
      <c r="E49" s="170">
        <f t="shared" si="10"/>
        <v>31117320</v>
      </c>
      <c r="F49" s="170">
        <f>30300000+618189+199131</f>
        <v>31117320</v>
      </c>
      <c r="G49" s="170"/>
      <c r="H49" s="170"/>
      <c r="I49" s="170"/>
      <c r="J49" s="169">
        <f t="shared" si="4"/>
        <v>0</v>
      </c>
      <c r="K49" s="184"/>
      <c r="L49" s="170"/>
      <c r="M49" s="170"/>
      <c r="N49" s="170"/>
      <c r="O49" s="169">
        <f t="shared" si="5"/>
        <v>0</v>
      </c>
      <c r="P49" s="170">
        <f t="shared" si="2"/>
        <v>31117320</v>
      </c>
    </row>
    <row r="50" spans="1:16" ht="294.75">
      <c r="A50" s="153" t="s">
        <v>524</v>
      </c>
      <c r="B50" s="153" t="s">
        <v>525</v>
      </c>
      <c r="C50" s="153" t="s">
        <v>133</v>
      </c>
      <c r="D50" s="200" t="s">
        <v>526</v>
      </c>
      <c r="E50" s="170">
        <f>F50</f>
        <v>1030968</v>
      </c>
      <c r="F50" s="170">
        <v>1030968</v>
      </c>
      <c r="G50" s="170"/>
      <c r="H50" s="170"/>
      <c r="I50" s="170"/>
      <c r="J50" s="169"/>
      <c r="K50" s="184"/>
      <c r="L50" s="170"/>
      <c r="M50" s="170"/>
      <c r="N50" s="170"/>
      <c r="O50" s="169"/>
      <c r="P50" s="170">
        <f t="shared" si="2"/>
        <v>1030968</v>
      </c>
    </row>
    <row r="51" spans="1:16" ht="73.5">
      <c r="A51" s="153" t="s">
        <v>134</v>
      </c>
      <c r="B51" s="153" t="s">
        <v>135</v>
      </c>
      <c r="C51" s="153" t="s">
        <v>133</v>
      </c>
      <c r="D51" s="138" t="s">
        <v>136</v>
      </c>
      <c r="E51" s="170">
        <f t="shared" si="10"/>
        <v>199500</v>
      </c>
      <c r="F51" s="170">
        <v>199500</v>
      </c>
      <c r="G51" s="170"/>
      <c r="H51" s="170"/>
      <c r="I51" s="170"/>
      <c r="J51" s="169">
        <f t="shared" si="4"/>
        <v>0</v>
      </c>
      <c r="K51" s="170"/>
      <c r="L51" s="170"/>
      <c r="M51" s="170"/>
      <c r="N51" s="170"/>
      <c r="O51" s="169">
        <f t="shared" si="5"/>
        <v>0</v>
      </c>
      <c r="P51" s="170">
        <f t="shared" si="2"/>
        <v>199500</v>
      </c>
    </row>
    <row r="52" spans="1:16" ht="48.75">
      <c r="A52" s="153" t="s">
        <v>137</v>
      </c>
      <c r="B52" s="153" t="s">
        <v>138</v>
      </c>
      <c r="C52" s="153" t="s">
        <v>139</v>
      </c>
      <c r="D52" s="133" t="s">
        <v>140</v>
      </c>
      <c r="E52" s="170">
        <f t="shared" si="10"/>
        <v>100000</v>
      </c>
      <c r="F52" s="170">
        <v>100000</v>
      </c>
      <c r="G52" s="170"/>
      <c r="H52" s="170"/>
      <c r="I52" s="170"/>
      <c r="J52" s="169">
        <f t="shared" si="4"/>
        <v>0</v>
      </c>
      <c r="K52" s="170"/>
      <c r="L52" s="170"/>
      <c r="M52" s="170"/>
      <c r="N52" s="170"/>
      <c r="O52" s="169">
        <f t="shared" si="5"/>
        <v>0</v>
      </c>
      <c r="P52" s="170">
        <f t="shared" si="2"/>
        <v>100000</v>
      </c>
    </row>
    <row r="53" spans="1:16" ht="73.5">
      <c r="A53" s="153" t="s">
        <v>482</v>
      </c>
      <c r="B53" s="153" t="s">
        <v>377</v>
      </c>
      <c r="C53" s="153" t="s">
        <v>141</v>
      </c>
      <c r="D53" s="133" t="s">
        <v>378</v>
      </c>
      <c r="E53" s="170"/>
      <c r="F53" s="170"/>
      <c r="G53" s="170"/>
      <c r="H53" s="170"/>
      <c r="I53" s="170"/>
      <c r="J53" s="169">
        <f t="shared" si="4"/>
        <v>2952808</v>
      </c>
      <c r="K53" s="170">
        <f>1489850+401229+1061729</f>
        <v>2952808</v>
      </c>
      <c r="L53" s="170"/>
      <c r="M53" s="170"/>
      <c r="N53" s="170"/>
      <c r="O53" s="169">
        <f t="shared" si="5"/>
        <v>2952808</v>
      </c>
      <c r="P53" s="170">
        <f t="shared" si="2"/>
        <v>2952808</v>
      </c>
    </row>
    <row r="54" spans="1:16" ht="48.75">
      <c r="A54" s="153" t="s">
        <v>521</v>
      </c>
      <c r="B54" s="153" t="s">
        <v>522</v>
      </c>
      <c r="C54" s="153" t="s">
        <v>141</v>
      </c>
      <c r="D54" s="133" t="s">
        <v>523</v>
      </c>
      <c r="E54" s="170"/>
      <c r="F54" s="170"/>
      <c r="G54" s="170"/>
      <c r="H54" s="170"/>
      <c r="I54" s="170"/>
      <c r="J54" s="169">
        <f t="shared" si="4"/>
        <v>1110133</v>
      </c>
      <c r="K54" s="170">
        <f>182560+682318+245255</f>
        <v>1110133</v>
      </c>
      <c r="L54" s="170"/>
      <c r="M54" s="170"/>
      <c r="N54" s="170"/>
      <c r="O54" s="169">
        <f t="shared" si="5"/>
        <v>1110133</v>
      </c>
      <c r="P54" s="170">
        <f t="shared" si="2"/>
        <v>1110133</v>
      </c>
    </row>
    <row r="55" spans="1:16" ht="48.75">
      <c r="A55" s="153" t="s">
        <v>460</v>
      </c>
      <c r="B55" s="153" t="s">
        <v>319</v>
      </c>
      <c r="C55" s="153" t="s">
        <v>141</v>
      </c>
      <c r="D55" s="133" t="s">
        <v>461</v>
      </c>
      <c r="E55" s="170"/>
      <c r="F55" s="170"/>
      <c r="G55" s="170"/>
      <c r="H55" s="170"/>
      <c r="I55" s="170"/>
      <c r="J55" s="169">
        <f t="shared" si="4"/>
        <v>2913539</v>
      </c>
      <c r="K55" s="170">
        <f>236684+57727+284098+1035724+60000+747973+300000+138312+53021</f>
        <v>2913539</v>
      </c>
      <c r="L55" s="170"/>
      <c r="M55" s="170"/>
      <c r="N55" s="170"/>
      <c r="O55" s="169">
        <f t="shared" si="5"/>
        <v>2913539</v>
      </c>
      <c r="P55" s="170">
        <f t="shared" si="2"/>
        <v>2913539</v>
      </c>
    </row>
    <row r="56" spans="1:16" ht="123">
      <c r="A56" s="153" t="s">
        <v>391</v>
      </c>
      <c r="B56" s="153" t="s">
        <v>389</v>
      </c>
      <c r="C56" s="153" t="s">
        <v>142</v>
      </c>
      <c r="D56" s="133" t="s">
        <v>390</v>
      </c>
      <c r="E56" s="170"/>
      <c r="F56" s="170"/>
      <c r="G56" s="170"/>
      <c r="H56" s="170"/>
      <c r="I56" s="170"/>
      <c r="J56" s="169">
        <f t="shared" si="4"/>
        <v>2711044</v>
      </c>
      <c r="K56" s="170">
        <f>1204337+200000+1306707</f>
        <v>2711044</v>
      </c>
      <c r="L56" s="170"/>
      <c r="M56" s="170"/>
      <c r="N56" s="170"/>
      <c r="O56" s="169">
        <f>K56</f>
        <v>2711044</v>
      </c>
      <c r="P56" s="170">
        <f>E56+J56</f>
        <v>2711044</v>
      </c>
    </row>
    <row r="57" spans="1:16" ht="78.75" customHeight="1">
      <c r="A57" s="153" t="s">
        <v>517</v>
      </c>
      <c r="B57" s="153" t="s">
        <v>518</v>
      </c>
      <c r="C57" s="153" t="s">
        <v>519</v>
      </c>
      <c r="D57" s="133" t="s">
        <v>520</v>
      </c>
      <c r="E57" s="170">
        <f>F57</f>
        <v>187310</v>
      </c>
      <c r="F57" s="170">
        <v>187310</v>
      </c>
      <c r="G57" s="170"/>
      <c r="H57" s="170"/>
      <c r="I57" s="170"/>
      <c r="J57" s="169"/>
      <c r="K57" s="170"/>
      <c r="L57" s="170"/>
      <c r="M57" s="170"/>
      <c r="N57" s="170"/>
      <c r="O57" s="169"/>
      <c r="P57" s="170">
        <f>E57+J57</f>
        <v>187310</v>
      </c>
    </row>
    <row r="58" spans="1:16" ht="123">
      <c r="A58" s="153" t="s">
        <v>143</v>
      </c>
      <c r="B58" s="153" t="s">
        <v>144</v>
      </c>
      <c r="C58" s="153" t="s">
        <v>145</v>
      </c>
      <c r="D58" s="133" t="s">
        <v>146</v>
      </c>
      <c r="E58" s="170">
        <f t="shared" si="10"/>
        <v>7500000</v>
      </c>
      <c r="F58" s="170">
        <v>7500000</v>
      </c>
      <c r="G58" s="170"/>
      <c r="H58" s="170"/>
      <c r="I58" s="170"/>
      <c r="J58" s="169">
        <f t="shared" si="4"/>
        <v>0</v>
      </c>
      <c r="K58" s="170"/>
      <c r="L58" s="170"/>
      <c r="M58" s="170"/>
      <c r="N58" s="170"/>
      <c r="O58" s="169">
        <f t="shared" si="5"/>
        <v>0</v>
      </c>
      <c r="P58" s="170">
        <f t="shared" si="2"/>
        <v>7500000</v>
      </c>
    </row>
    <row r="59" spans="1:16" ht="73.5">
      <c r="A59" s="153" t="s">
        <v>392</v>
      </c>
      <c r="B59" s="153" t="s">
        <v>393</v>
      </c>
      <c r="C59" s="153" t="s">
        <v>142</v>
      </c>
      <c r="D59" s="139" t="s">
        <v>394</v>
      </c>
      <c r="E59" s="170"/>
      <c r="F59" s="170"/>
      <c r="G59" s="170"/>
      <c r="H59" s="170"/>
      <c r="I59" s="170"/>
      <c r="J59" s="169">
        <f t="shared" si="4"/>
        <v>14327946</v>
      </c>
      <c r="K59" s="170">
        <f>4500000+3250000+4500000+1500000+65306+512640</f>
        <v>14327946</v>
      </c>
      <c r="L59" s="170"/>
      <c r="M59" s="170"/>
      <c r="N59" s="170"/>
      <c r="O59" s="169">
        <f>K59</f>
        <v>14327946</v>
      </c>
      <c r="P59" s="170">
        <f>E59+J59</f>
        <v>14327946</v>
      </c>
    </row>
    <row r="60" spans="1:16" ht="73.5">
      <c r="A60" s="153" t="s">
        <v>147</v>
      </c>
      <c r="B60" s="153" t="s">
        <v>148</v>
      </c>
      <c r="C60" s="153" t="s">
        <v>142</v>
      </c>
      <c r="D60" s="139" t="s">
        <v>149</v>
      </c>
      <c r="E60" s="170">
        <f t="shared" si="10"/>
        <v>25325</v>
      </c>
      <c r="F60" s="170">
        <v>25325</v>
      </c>
      <c r="G60" s="170"/>
      <c r="H60" s="170"/>
      <c r="I60" s="170"/>
      <c r="J60" s="169">
        <f t="shared" si="4"/>
        <v>0</v>
      </c>
      <c r="K60" s="170"/>
      <c r="L60" s="170"/>
      <c r="M60" s="170"/>
      <c r="N60" s="170"/>
      <c r="O60" s="169">
        <f t="shared" si="5"/>
        <v>0</v>
      </c>
      <c r="P60" s="170">
        <f t="shared" si="2"/>
        <v>25325</v>
      </c>
    </row>
    <row r="61" spans="1:16" ht="48.75">
      <c r="A61" s="153" t="s">
        <v>150</v>
      </c>
      <c r="B61" s="153" t="s">
        <v>151</v>
      </c>
      <c r="C61" s="153" t="s">
        <v>142</v>
      </c>
      <c r="D61" s="133" t="s">
        <v>152</v>
      </c>
      <c r="E61" s="170">
        <f t="shared" si="10"/>
        <v>2975116</v>
      </c>
      <c r="F61" s="170">
        <f>1978205+50000+400000-50000+17669+195000+58410+78000+456628+91204-300000</f>
        <v>2975116</v>
      </c>
      <c r="G61" s="170"/>
      <c r="H61" s="170"/>
      <c r="I61" s="170"/>
      <c r="J61" s="169">
        <f t="shared" si="4"/>
        <v>0</v>
      </c>
      <c r="K61" s="170"/>
      <c r="L61" s="170"/>
      <c r="M61" s="170"/>
      <c r="N61" s="170"/>
      <c r="O61" s="169">
        <f t="shared" si="5"/>
        <v>0</v>
      </c>
      <c r="P61" s="170">
        <f t="shared" si="2"/>
        <v>2975116</v>
      </c>
    </row>
    <row r="62" spans="1:16" ht="73.5">
      <c r="A62" s="153" t="s">
        <v>153</v>
      </c>
      <c r="B62" s="153" t="s">
        <v>154</v>
      </c>
      <c r="C62" s="153" t="s">
        <v>155</v>
      </c>
      <c r="D62" s="140" t="s">
        <v>156</v>
      </c>
      <c r="E62" s="170">
        <f t="shared" si="10"/>
        <v>2497345</v>
      </c>
      <c r="F62" s="170">
        <v>2497345</v>
      </c>
      <c r="G62" s="170"/>
      <c r="H62" s="170"/>
      <c r="I62" s="170"/>
      <c r="J62" s="169">
        <f t="shared" si="4"/>
        <v>0</v>
      </c>
      <c r="K62" s="170"/>
      <c r="L62" s="170"/>
      <c r="M62" s="170"/>
      <c r="N62" s="170"/>
      <c r="O62" s="169">
        <f t="shared" si="5"/>
        <v>0</v>
      </c>
      <c r="P62" s="170">
        <f t="shared" si="2"/>
        <v>2497345</v>
      </c>
    </row>
    <row r="63" spans="1:16" ht="48.75">
      <c r="A63" s="153" t="s">
        <v>157</v>
      </c>
      <c r="B63" s="153" t="s">
        <v>158</v>
      </c>
      <c r="C63" s="153" t="s">
        <v>159</v>
      </c>
      <c r="D63" s="138" t="s">
        <v>160</v>
      </c>
      <c r="E63" s="170"/>
      <c r="F63" s="170"/>
      <c r="G63" s="170"/>
      <c r="H63" s="170"/>
      <c r="I63" s="170"/>
      <c r="J63" s="169">
        <f t="shared" si="4"/>
        <v>925958</v>
      </c>
      <c r="K63" s="170"/>
      <c r="L63" s="170">
        <f>212000+433958</f>
        <v>645958</v>
      </c>
      <c r="M63" s="170"/>
      <c r="N63" s="170"/>
      <c r="O63" s="169">
        <f>280000</f>
        <v>280000</v>
      </c>
      <c r="P63" s="170">
        <f t="shared" si="2"/>
        <v>925958</v>
      </c>
    </row>
    <row r="64" spans="1:16" ht="48.75">
      <c r="A64" s="153" t="s">
        <v>161</v>
      </c>
      <c r="B64" s="153" t="s">
        <v>162</v>
      </c>
      <c r="C64" s="153" t="s">
        <v>163</v>
      </c>
      <c r="D64" s="138" t="s">
        <v>164</v>
      </c>
      <c r="E64" s="170">
        <f t="shared" si="10"/>
        <v>749450</v>
      </c>
      <c r="F64" s="170">
        <v>749450</v>
      </c>
      <c r="G64" s="170"/>
      <c r="H64" s="170"/>
      <c r="I64" s="170"/>
      <c r="J64" s="169">
        <f t="shared" si="4"/>
        <v>0</v>
      </c>
      <c r="K64" s="170"/>
      <c r="L64" s="170"/>
      <c r="M64" s="170"/>
      <c r="N64" s="170"/>
      <c r="O64" s="169">
        <f t="shared" si="5"/>
        <v>0</v>
      </c>
      <c r="P64" s="170">
        <f t="shared" si="2"/>
        <v>749450</v>
      </c>
    </row>
    <row r="65" spans="1:16" ht="49.5" thickBot="1">
      <c r="A65" s="155" t="s">
        <v>165</v>
      </c>
      <c r="B65" s="155" t="s">
        <v>166</v>
      </c>
      <c r="C65" s="155" t="s">
        <v>163</v>
      </c>
      <c r="D65" s="141" t="s">
        <v>167</v>
      </c>
      <c r="E65" s="171">
        <f t="shared" si="10"/>
        <v>1070455</v>
      </c>
      <c r="F65" s="171">
        <v>1070455</v>
      </c>
      <c r="G65" s="171"/>
      <c r="H65" s="171"/>
      <c r="I65" s="171"/>
      <c r="J65" s="172">
        <f t="shared" si="4"/>
        <v>0</v>
      </c>
      <c r="K65" s="171"/>
      <c r="L65" s="171"/>
      <c r="M65" s="171"/>
      <c r="N65" s="171"/>
      <c r="O65" s="172">
        <f t="shared" si="5"/>
        <v>0</v>
      </c>
      <c r="P65" s="171">
        <f t="shared" si="2"/>
        <v>1070455</v>
      </c>
    </row>
    <row r="66" spans="1:16" s="21" customFormat="1" ht="72">
      <c r="A66" s="151" t="s">
        <v>184</v>
      </c>
      <c r="B66" s="151"/>
      <c r="C66" s="151"/>
      <c r="D66" s="130" t="s">
        <v>185</v>
      </c>
      <c r="E66" s="167">
        <f>E67</f>
        <v>257150537</v>
      </c>
      <c r="F66" s="167">
        <f aca="true" t="shared" si="11" ref="F66:N66">F67</f>
        <v>257150537</v>
      </c>
      <c r="G66" s="167">
        <f t="shared" si="11"/>
        <v>211063113</v>
      </c>
      <c r="H66" s="167">
        <f t="shared" si="11"/>
        <v>29143448</v>
      </c>
      <c r="I66" s="167">
        <f t="shared" si="11"/>
        <v>0</v>
      </c>
      <c r="J66" s="167">
        <f t="shared" si="11"/>
        <v>13239845</v>
      </c>
      <c r="K66" s="167">
        <f t="shared" si="11"/>
        <v>5154852</v>
      </c>
      <c r="L66" s="167">
        <f t="shared" si="11"/>
        <v>8084993</v>
      </c>
      <c r="M66" s="167">
        <f t="shared" si="11"/>
        <v>1371748</v>
      </c>
      <c r="N66" s="167">
        <f t="shared" si="11"/>
        <v>35707</v>
      </c>
      <c r="O66" s="173">
        <f t="shared" si="5"/>
        <v>5154852</v>
      </c>
      <c r="P66" s="167">
        <f t="shared" si="2"/>
        <v>270390382</v>
      </c>
    </row>
    <row r="67" spans="1:16" s="21" customFormat="1" ht="72">
      <c r="A67" s="152" t="s">
        <v>186</v>
      </c>
      <c r="B67" s="152"/>
      <c r="C67" s="152"/>
      <c r="D67" s="131" t="s">
        <v>185</v>
      </c>
      <c r="E67" s="168">
        <f>E68+E69+E70+E81+E82+E83+E84+E85+E89+E91+E88</f>
        <v>257150537</v>
      </c>
      <c r="F67" s="168">
        <f>F68+F69+F70+F81+F82+F83+F84+F85+F89+F91+F88</f>
        <v>257150537</v>
      </c>
      <c r="G67" s="168">
        <f>G68+G69+G70+G81+G82+G83+G84+G85+G89+G91+G88</f>
        <v>211063113</v>
      </c>
      <c r="H67" s="168">
        <f>H68+H69+H70+H81+H82+H83+H84+H85+H89+H91+H88</f>
        <v>29143448</v>
      </c>
      <c r="I67" s="168">
        <f>I68+I69+I70+I81+I82+I83+I84+I85+I89+I91</f>
        <v>0</v>
      </c>
      <c r="J67" s="168">
        <f aca="true" t="shared" si="12" ref="J67:O67">J68+J69+J70+J81+J82+J83+J84+J85+J89+J90+J91</f>
        <v>13239845</v>
      </c>
      <c r="K67" s="168">
        <f t="shared" si="12"/>
        <v>5154852</v>
      </c>
      <c r="L67" s="168">
        <f t="shared" si="12"/>
        <v>8084993</v>
      </c>
      <c r="M67" s="168">
        <f t="shared" si="12"/>
        <v>1371748</v>
      </c>
      <c r="N67" s="168">
        <f t="shared" si="12"/>
        <v>35707</v>
      </c>
      <c r="O67" s="168">
        <f t="shared" si="12"/>
        <v>5154852</v>
      </c>
      <c r="P67" s="168">
        <f t="shared" si="2"/>
        <v>270390382</v>
      </c>
    </row>
    <row r="68" spans="1:16" ht="123">
      <c r="A68" s="153" t="s">
        <v>187</v>
      </c>
      <c r="B68" s="153" t="s">
        <v>188</v>
      </c>
      <c r="C68" s="153" t="s">
        <v>77</v>
      </c>
      <c r="D68" s="133" t="s">
        <v>189</v>
      </c>
      <c r="E68" s="170">
        <f>F68</f>
        <v>1630780</v>
      </c>
      <c r="F68" s="170">
        <f>1543305+87475</f>
        <v>1630780</v>
      </c>
      <c r="G68" s="170">
        <f>1437782+87475</f>
        <v>1525257</v>
      </c>
      <c r="H68" s="170">
        <v>61615</v>
      </c>
      <c r="I68" s="170"/>
      <c r="J68" s="169">
        <f t="shared" si="4"/>
        <v>13000</v>
      </c>
      <c r="K68" s="170">
        <f>13000</f>
        <v>13000</v>
      </c>
      <c r="L68" s="170"/>
      <c r="M68" s="170"/>
      <c r="N68" s="170"/>
      <c r="O68" s="169">
        <f t="shared" si="5"/>
        <v>13000</v>
      </c>
      <c r="P68" s="170">
        <f t="shared" si="2"/>
        <v>1643780</v>
      </c>
    </row>
    <row r="69" spans="1:16" ht="24">
      <c r="A69" s="153" t="s">
        <v>190</v>
      </c>
      <c r="B69" s="153" t="s">
        <v>191</v>
      </c>
      <c r="C69" s="153" t="s">
        <v>192</v>
      </c>
      <c r="D69" s="133" t="s">
        <v>193</v>
      </c>
      <c r="E69" s="170">
        <f>F69</f>
        <v>89461270</v>
      </c>
      <c r="F69" s="170">
        <f>78894027+4672462+2490037-472825+3877569</f>
        <v>89461270</v>
      </c>
      <c r="G69" s="170">
        <f>63227525+4140907+2061205+3196291</f>
        <v>72625928</v>
      </c>
      <c r="H69" s="170">
        <f>11705083+332650+292993-472824+428855</f>
        <v>12286757</v>
      </c>
      <c r="I69" s="170"/>
      <c r="J69" s="169">
        <f t="shared" si="4"/>
        <v>5140428</v>
      </c>
      <c r="K69" s="170">
        <f>12000</f>
        <v>12000</v>
      </c>
      <c r="L69" s="170">
        <f>4487928+414750+225750</f>
        <v>5128428</v>
      </c>
      <c r="M69" s="170"/>
      <c r="N69" s="170"/>
      <c r="O69" s="169">
        <f t="shared" si="5"/>
        <v>12000</v>
      </c>
      <c r="P69" s="170">
        <f t="shared" si="2"/>
        <v>94601698</v>
      </c>
    </row>
    <row r="70" spans="1:16" ht="147">
      <c r="A70" s="153" t="s">
        <v>194</v>
      </c>
      <c r="B70" s="153" t="s">
        <v>195</v>
      </c>
      <c r="C70" s="153" t="s">
        <v>196</v>
      </c>
      <c r="D70" s="132" t="s">
        <v>463</v>
      </c>
      <c r="E70" s="170">
        <f>SUM(E72:E80)</f>
        <v>151707890</v>
      </c>
      <c r="F70" s="170">
        <f aca="true" t="shared" si="13" ref="F70:O70">SUM(F72:F80)</f>
        <v>151707890</v>
      </c>
      <c r="G70" s="170">
        <f t="shared" si="13"/>
        <v>123723973</v>
      </c>
      <c r="H70" s="170">
        <f t="shared" si="13"/>
        <v>15899479</v>
      </c>
      <c r="I70" s="170">
        <f t="shared" si="13"/>
        <v>0</v>
      </c>
      <c r="J70" s="170">
        <f t="shared" si="13"/>
        <v>3100565</v>
      </c>
      <c r="K70" s="170">
        <f t="shared" si="13"/>
        <v>144000</v>
      </c>
      <c r="L70" s="170">
        <f t="shared" si="13"/>
        <v>2956565</v>
      </c>
      <c r="M70" s="170">
        <f t="shared" si="13"/>
        <v>1371748</v>
      </c>
      <c r="N70" s="170">
        <f t="shared" si="13"/>
        <v>35707</v>
      </c>
      <c r="O70" s="170">
        <f t="shared" si="13"/>
        <v>144000</v>
      </c>
      <c r="P70" s="170">
        <f t="shared" si="2"/>
        <v>154808455</v>
      </c>
    </row>
    <row r="71" spans="1:16" ht="24" hidden="1">
      <c r="A71" s="153"/>
      <c r="B71" s="153"/>
      <c r="C71" s="153"/>
      <c r="D71" s="142" t="s">
        <v>79</v>
      </c>
      <c r="E71" s="170"/>
      <c r="F71" s="170"/>
      <c r="G71" s="170"/>
      <c r="H71" s="170"/>
      <c r="I71" s="170"/>
      <c r="J71" s="169">
        <f t="shared" si="4"/>
        <v>0</v>
      </c>
      <c r="K71" s="170"/>
      <c r="L71" s="170"/>
      <c r="M71" s="170"/>
      <c r="N71" s="170"/>
      <c r="O71" s="169">
        <f t="shared" si="5"/>
        <v>0</v>
      </c>
      <c r="P71" s="170">
        <f t="shared" si="2"/>
        <v>0</v>
      </c>
    </row>
    <row r="72" spans="1:16" ht="48.75" hidden="1">
      <c r="A72" s="153"/>
      <c r="B72" s="153"/>
      <c r="C72" s="153"/>
      <c r="D72" s="143" t="s">
        <v>197</v>
      </c>
      <c r="E72" s="170">
        <f>F72</f>
        <v>94751473</v>
      </c>
      <c r="F72" s="170">
        <f>94732600+18873</f>
        <v>94751473</v>
      </c>
      <c r="G72" s="170">
        <f>94732600+18873</f>
        <v>94751473</v>
      </c>
      <c r="H72" s="170"/>
      <c r="I72" s="170"/>
      <c r="J72" s="169">
        <f t="shared" si="4"/>
        <v>0</v>
      </c>
      <c r="K72" s="170"/>
      <c r="L72" s="170"/>
      <c r="M72" s="170"/>
      <c r="N72" s="170"/>
      <c r="O72" s="169">
        <f t="shared" si="5"/>
        <v>0</v>
      </c>
      <c r="P72" s="170">
        <f t="shared" si="2"/>
        <v>94751473</v>
      </c>
    </row>
    <row r="73" spans="1:16" ht="48.75" hidden="1">
      <c r="A73" s="153"/>
      <c r="B73" s="153"/>
      <c r="C73" s="153"/>
      <c r="D73" s="143" t="s">
        <v>198</v>
      </c>
      <c r="E73" s="170"/>
      <c r="F73" s="170"/>
      <c r="G73" s="170"/>
      <c r="H73" s="170"/>
      <c r="I73" s="170"/>
      <c r="J73" s="169">
        <f t="shared" si="4"/>
        <v>0</v>
      </c>
      <c r="K73" s="170"/>
      <c r="L73" s="170"/>
      <c r="M73" s="170"/>
      <c r="N73" s="170"/>
      <c r="O73" s="169">
        <f t="shared" si="5"/>
        <v>0</v>
      </c>
      <c r="P73" s="170">
        <f t="shared" si="2"/>
        <v>0</v>
      </c>
    </row>
    <row r="74" spans="1:16" ht="221.25" hidden="1">
      <c r="A74" s="153"/>
      <c r="B74" s="153"/>
      <c r="C74" s="153"/>
      <c r="D74" s="143" t="s">
        <v>199</v>
      </c>
      <c r="E74" s="170"/>
      <c r="F74" s="170"/>
      <c r="G74" s="170"/>
      <c r="H74" s="170"/>
      <c r="I74" s="170"/>
      <c r="J74" s="169">
        <f t="shared" si="4"/>
        <v>0</v>
      </c>
      <c r="K74" s="170"/>
      <c r="L74" s="170"/>
      <c r="M74" s="170"/>
      <c r="N74" s="170"/>
      <c r="O74" s="169">
        <f t="shared" si="5"/>
        <v>0</v>
      </c>
      <c r="P74" s="170">
        <f t="shared" si="2"/>
        <v>0</v>
      </c>
    </row>
    <row r="75" spans="1:16" ht="196.5" hidden="1">
      <c r="A75" s="153"/>
      <c r="B75" s="153"/>
      <c r="C75" s="153"/>
      <c r="D75" s="143" t="s">
        <v>200</v>
      </c>
      <c r="E75" s="170">
        <f>F75</f>
        <v>174341</v>
      </c>
      <c r="F75" s="170">
        <f>135900+38441</f>
        <v>174341</v>
      </c>
      <c r="G75" s="170">
        <f>135900+38441</f>
        <v>174341</v>
      </c>
      <c r="H75" s="170"/>
      <c r="I75" s="170"/>
      <c r="J75" s="169">
        <f t="shared" si="4"/>
        <v>144000</v>
      </c>
      <c r="K75" s="170">
        <f>O75</f>
        <v>144000</v>
      </c>
      <c r="L75" s="170"/>
      <c r="M75" s="170"/>
      <c r="N75" s="170"/>
      <c r="O75" s="169">
        <v>144000</v>
      </c>
      <c r="P75" s="170">
        <f t="shared" si="2"/>
        <v>318341</v>
      </c>
    </row>
    <row r="76" spans="1:16" ht="171.75" hidden="1">
      <c r="A76" s="153"/>
      <c r="B76" s="153"/>
      <c r="C76" s="153"/>
      <c r="D76" s="143" t="s">
        <v>201</v>
      </c>
      <c r="E76" s="170"/>
      <c r="F76" s="170"/>
      <c r="G76" s="170"/>
      <c r="H76" s="170"/>
      <c r="I76" s="170"/>
      <c r="J76" s="169">
        <f t="shared" si="4"/>
        <v>0</v>
      </c>
      <c r="K76" s="170"/>
      <c r="L76" s="170"/>
      <c r="M76" s="170"/>
      <c r="N76" s="170"/>
      <c r="O76" s="169">
        <f t="shared" si="5"/>
        <v>0</v>
      </c>
      <c r="P76" s="170">
        <f t="shared" si="2"/>
        <v>0</v>
      </c>
    </row>
    <row r="77" spans="1:16" ht="196.5" hidden="1">
      <c r="A77" s="153"/>
      <c r="B77" s="153"/>
      <c r="C77" s="153"/>
      <c r="D77" s="143" t="s">
        <v>202</v>
      </c>
      <c r="E77" s="170"/>
      <c r="F77" s="170"/>
      <c r="G77" s="170"/>
      <c r="H77" s="170"/>
      <c r="I77" s="170"/>
      <c r="J77" s="169">
        <f t="shared" si="4"/>
        <v>0</v>
      </c>
      <c r="K77" s="170"/>
      <c r="L77" s="170"/>
      <c r="M77" s="170"/>
      <c r="N77" s="170"/>
      <c r="O77" s="169">
        <f t="shared" si="5"/>
        <v>0</v>
      </c>
      <c r="P77" s="170">
        <f t="shared" si="2"/>
        <v>0</v>
      </c>
    </row>
    <row r="78" spans="1:16" ht="221.25" hidden="1">
      <c r="A78" s="153"/>
      <c r="B78" s="153"/>
      <c r="C78" s="153"/>
      <c r="D78" s="183" t="s">
        <v>400</v>
      </c>
      <c r="E78" s="170">
        <f>F78</f>
        <v>1256800</v>
      </c>
      <c r="F78" s="170">
        <f>1256800</f>
        <v>1256800</v>
      </c>
      <c r="G78" s="170"/>
      <c r="H78" s="170">
        <v>1256800</v>
      </c>
      <c r="I78" s="170"/>
      <c r="J78" s="169"/>
      <c r="K78" s="170"/>
      <c r="L78" s="170"/>
      <c r="M78" s="170"/>
      <c r="N78" s="170"/>
      <c r="O78" s="169"/>
      <c r="P78" s="170">
        <f t="shared" si="2"/>
        <v>1256800</v>
      </c>
    </row>
    <row r="79" spans="1:16" ht="147" hidden="1">
      <c r="A79" s="153"/>
      <c r="B79" s="153"/>
      <c r="C79" s="153"/>
      <c r="D79" s="186" t="s">
        <v>430</v>
      </c>
      <c r="E79" s="170"/>
      <c r="F79" s="170"/>
      <c r="G79" s="170"/>
      <c r="H79" s="170"/>
      <c r="I79" s="170"/>
      <c r="J79" s="169">
        <f>K79+L79</f>
        <v>0</v>
      </c>
      <c r="K79" s="170"/>
      <c r="L79" s="170"/>
      <c r="M79" s="170"/>
      <c r="N79" s="170">
        <f>K79</f>
        <v>0</v>
      </c>
      <c r="O79" s="169"/>
      <c r="P79" s="170">
        <f t="shared" si="2"/>
        <v>0</v>
      </c>
    </row>
    <row r="80" spans="1:16" ht="24" hidden="1">
      <c r="A80" s="153"/>
      <c r="B80" s="153"/>
      <c r="C80" s="153"/>
      <c r="D80" s="133" t="s">
        <v>94</v>
      </c>
      <c r="E80" s="170">
        <f aca="true" t="shared" si="14" ref="E80:E89">F80</f>
        <v>55525276</v>
      </c>
      <c r="F80" s="170">
        <f>51371014+2284676-671908+2418084+1380210-1256800</f>
        <v>55525276</v>
      </c>
      <c r="G80" s="170">
        <f>26001972+1356916+1439271</f>
        <v>28798159</v>
      </c>
      <c r="H80" s="170">
        <f>15460808+607240-671909+503340-1256800</f>
        <v>14642679</v>
      </c>
      <c r="I80" s="170"/>
      <c r="J80" s="169">
        <f t="shared" si="4"/>
        <v>2956565</v>
      </c>
      <c r="K80" s="170"/>
      <c r="L80" s="170">
        <f>2719655+24750+212160</f>
        <v>2956565</v>
      </c>
      <c r="M80" s="170">
        <f>1124382+247366</f>
        <v>1371748</v>
      </c>
      <c r="N80" s="170">
        <f>35707</f>
        <v>35707</v>
      </c>
      <c r="O80" s="169">
        <f t="shared" si="5"/>
        <v>0</v>
      </c>
      <c r="P80" s="170">
        <f t="shared" si="2"/>
        <v>58481841</v>
      </c>
    </row>
    <row r="81" spans="1:16" ht="123">
      <c r="A81" s="153" t="s">
        <v>203</v>
      </c>
      <c r="B81" s="153" t="s">
        <v>115</v>
      </c>
      <c r="C81" s="153" t="s">
        <v>204</v>
      </c>
      <c r="D81" s="133" t="s">
        <v>464</v>
      </c>
      <c r="E81" s="170">
        <f t="shared" si="14"/>
        <v>6250010</v>
      </c>
      <c r="F81" s="170">
        <v>6250010</v>
      </c>
      <c r="G81" s="170">
        <v>5836040</v>
      </c>
      <c r="H81" s="170">
        <v>348110</v>
      </c>
      <c r="I81" s="170"/>
      <c r="J81" s="169">
        <f t="shared" si="4"/>
        <v>0</v>
      </c>
      <c r="K81" s="170"/>
      <c r="L81" s="170"/>
      <c r="M81" s="170"/>
      <c r="N81" s="170"/>
      <c r="O81" s="169">
        <f t="shared" si="5"/>
        <v>0</v>
      </c>
      <c r="P81" s="170">
        <f t="shared" si="2"/>
        <v>6250010</v>
      </c>
    </row>
    <row r="82" spans="1:16" ht="48.75">
      <c r="A82" s="153" t="s">
        <v>205</v>
      </c>
      <c r="B82" s="153" t="s">
        <v>206</v>
      </c>
      <c r="C82" s="153" t="s">
        <v>207</v>
      </c>
      <c r="D82" s="133" t="s">
        <v>465</v>
      </c>
      <c r="E82" s="170">
        <f t="shared" si="14"/>
        <v>1453177</v>
      </c>
      <c r="F82" s="170">
        <v>1453177</v>
      </c>
      <c r="G82" s="170">
        <v>1381902</v>
      </c>
      <c r="H82" s="170">
        <v>44964</v>
      </c>
      <c r="I82" s="170"/>
      <c r="J82" s="169">
        <f t="shared" si="4"/>
        <v>0</v>
      </c>
      <c r="K82" s="170"/>
      <c r="L82" s="170"/>
      <c r="M82" s="170"/>
      <c r="N82" s="170"/>
      <c r="O82" s="169">
        <f t="shared" si="5"/>
        <v>0</v>
      </c>
      <c r="P82" s="170">
        <f t="shared" si="2"/>
        <v>1453177</v>
      </c>
    </row>
    <row r="83" spans="1:16" ht="73.5">
      <c r="A83" s="153" t="s">
        <v>208</v>
      </c>
      <c r="B83" s="153" t="s">
        <v>209</v>
      </c>
      <c r="C83" s="153" t="s">
        <v>207</v>
      </c>
      <c r="D83" s="144" t="s">
        <v>210</v>
      </c>
      <c r="E83" s="170">
        <f t="shared" si="14"/>
        <v>2446516</v>
      </c>
      <c r="F83" s="170">
        <v>2446516</v>
      </c>
      <c r="G83" s="170">
        <f>2067809+229809</f>
        <v>2297618</v>
      </c>
      <c r="H83" s="170">
        <v>76668</v>
      </c>
      <c r="I83" s="170"/>
      <c r="J83" s="169">
        <f t="shared" si="4"/>
        <v>35000</v>
      </c>
      <c r="K83" s="170">
        <f>35000</f>
        <v>35000</v>
      </c>
      <c r="L83" s="170"/>
      <c r="M83" s="170"/>
      <c r="N83" s="170"/>
      <c r="O83" s="169">
        <f t="shared" si="5"/>
        <v>35000</v>
      </c>
      <c r="P83" s="170">
        <f t="shared" si="2"/>
        <v>2481516</v>
      </c>
    </row>
    <row r="84" spans="1:16" ht="48.75">
      <c r="A84" s="153" t="s">
        <v>211</v>
      </c>
      <c r="B84" s="153" t="s">
        <v>212</v>
      </c>
      <c r="C84" s="153" t="s">
        <v>207</v>
      </c>
      <c r="D84" s="133" t="s">
        <v>213</v>
      </c>
      <c r="E84" s="169">
        <f t="shared" si="14"/>
        <v>30770</v>
      </c>
      <c r="F84" s="169">
        <v>30770</v>
      </c>
      <c r="G84" s="169"/>
      <c r="H84" s="169"/>
      <c r="I84" s="169"/>
      <c r="J84" s="169">
        <f t="shared" si="4"/>
        <v>0</v>
      </c>
      <c r="K84" s="169"/>
      <c r="L84" s="169"/>
      <c r="M84" s="169"/>
      <c r="N84" s="169"/>
      <c r="O84" s="169">
        <f t="shared" si="5"/>
        <v>0</v>
      </c>
      <c r="P84" s="170">
        <f t="shared" si="2"/>
        <v>30770</v>
      </c>
    </row>
    <row r="85" spans="1:16" ht="73.5">
      <c r="A85" s="153" t="s">
        <v>214</v>
      </c>
      <c r="B85" s="153" t="s">
        <v>215</v>
      </c>
      <c r="C85" s="153" t="s">
        <v>207</v>
      </c>
      <c r="D85" s="133" t="s">
        <v>216</v>
      </c>
      <c r="E85" s="174">
        <f>SUM(E86:E87)</f>
        <v>1137204</v>
      </c>
      <c r="F85" s="174">
        <f aca="true" t="shared" si="15" ref="F85:O85">SUM(F86:F87)</f>
        <v>1137204</v>
      </c>
      <c r="G85" s="174">
        <f t="shared" si="15"/>
        <v>1068076</v>
      </c>
      <c r="H85" s="174">
        <f t="shared" si="15"/>
        <v>63385</v>
      </c>
      <c r="I85" s="174">
        <f t="shared" si="15"/>
        <v>0</v>
      </c>
      <c r="J85" s="174">
        <f t="shared" si="15"/>
        <v>0</v>
      </c>
      <c r="K85" s="174">
        <f t="shared" si="15"/>
        <v>0</v>
      </c>
      <c r="L85" s="174">
        <f t="shared" si="15"/>
        <v>0</v>
      </c>
      <c r="M85" s="174">
        <f t="shared" si="15"/>
        <v>0</v>
      </c>
      <c r="N85" s="174">
        <f t="shared" si="15"/>
        <v>0</v>
      </c>
      <c r="O85" s="174">
        <f t="shared" si="15"/>
        <v>0</v>
      </c>
      <c r="P85" s="170">
        <f>E85+J85</f>
        <v>1137204</v>
      </c>
    </row>
    <row r="86" spans="1:16" ht="123" hidden="1">
      <c r="A86" s="156"/>
      <c r="B86" s="156"/>
      <c r="C86" s="156"/>
      <c r="D86" s="145" t="s">
        <v>401</v>
      </c>
      <c r="E86" s="175">
        <f>F86</f>
        <v>882064</v>
      </c>
      <c r="F86" s="175">
        <f>844767+37297</f>
        <v>882064</v>
      </c>
      <c r="G86" s="175">
        <f>844767+37297</f>
        <v>882064</v>
      </c>
      <c r="H86" s="175"/>
      <c r="I86" s="175"/>
      <c r="J86" s="175"/>
      <c r="K86" s="175"/>
      <c r="L86" s="175"/>
      <c r="M86" s="175"/>
      <c r="N86" s="175"/>
      <c r="O86" s="175"/>
      <c r="P86" s="170">
        <f>E86+J86</f>
        <v>882064</v>
      </c>
    </row>
    <row r="87" spans="1:16" ht="24" hidden="1">
      <c r="A87" s="156"/>
      <c r="B87" s="156"/>
      <c r="C87" s="156"/>
      <c r="D87" s="145" t="s">
        <v>94</v>
      </c>
      <c r="E87" s="169">
        <f>F87</f>
        <v>255140</v>
      </c>
      <c r="F87" s="169">
        <v>255140</v>
      </c>
      <c r="G87" s="169">
        <v>186012</v>
      </c>
      <c r="H87" s="169">
        <v>63385</v>
      </c>
      <c r="I87" s="175"/>
      <c r="J87" s="175"/>
      <c r="K87" s="175"/>
      <c r="L87" s="175"/>
      <c r="M87" s="175"/>
      <c r="N87" s="175"/>
      <c r="O87" s="175"/>
      <c r="P87" s="170">
        <f>E87+J87</f>
        <v>255140</v>
      </c>
    </row>
    <row r="88" spans="1:16" ht="48.75">
      <c r="A88" s="156" t="s">
        <v>504</v>
      </c>
      <c r="B88" s="156" t="s">
        <v>505</v>
      </c>
      <c r="C88" s="156" t="s">
        <v>506</v>
      </c>
      <c r="D88" s="145" t="s">
        <v>507</v>
      </c>
      <c r="E88" s="175">
        <f>F88</f>
        <v>2880</v>
      </c>
      <c r="F88" s="175">
        <v>2880</v>
      </c>
      <c r="G88" s="175">
        <v>2880</v>
      </c>
      <c r="H88" s="175"/>
      <c r="I88" s="175"/>
      <c r="J88" s="175"/>
      <c r="K88" s="175"/>
      <c r="L88" s="175"/>
      <c r="M88" s="175"/>
      <c r="N88" s="175"/>
      <c r="O88" s="175"/>
      <c r="P88" s="176">
        <f>E88+J88</f>
        <v>2880</v>
      </c>
    </row>
    <row r="89" spans="1:16" ht="98.25">
      <c r="A89" s="156" t="s">
        <v>217</v>
      </c>
      <c r="B89" s="156" t="s">
        <v>218</v>
      </c>
      <c r="C89" s="156" t="s">
        <v>219</v>
      </c>
      <c r="D89" s="145" t="s">
        <v>220</v>
      </c>
      <c r="E89" s="175">
        <f t="shared" si="14"/>
        <v>3030040</v>
      </c>
      <c r="F89" s="175">
        <f>2698420+331620</f>
        <v>3030040</v>
      </c>
      <c r="G89" s="175">
        <f>2269819+331620</f>
        <v>2601439</v>
      </c>
      <c r="H89" s="175">
        <v>362470</v>
      </c>
      <c r="I89" s="175"/>
      <c r="J89" s="175">
        <f t="shared" si="4"/>
        <v>10000</v>
      </c>
      <c r="K89" s="175">
        <f>10000</f>
        <v>10000</v>
      </c>
      <c r="L89" s="175"/>
      <c r="M89" s="175"/>
      <c r="N89" s="175"/>
      <c r="O89" s="175">
        <f t="shared" si="5"/>
        <v>10000</v>
      </c>
      <c r="P89" s="176">
        <f t="shared" si="2"/>
        <v>3040040</v>
      </c>
    </row>
    <row r="90" spans="1:16" ht="48.75">
      <c r="A90" s="156" t="s">
        <v>471</v>
      </c>
      <c r="B90" s="156" t="s">
        <v>472</v>
      </c>
      <c r="C90" s="156" t="s">
        <v>141</v>
      </c>
      <c r="D90" s="145" t="s">
        <v>473</v>
      </c>
      <c r="E90" s="175"/>
      <c r="F90" s="175"/>
      <c r="G90" s="175"/>
      <c r="H90" s="175"/>
      <c r="I90" s="175"/>
      <c r="J90" s="175">
        <f>O90+L90</f>
        <v>4343081</v>
      </c>
      <c r="K90" s="175">
        <f>458596+3586541+251261+46683</f>
        <v>4343081</v>
      </c>
      <c r="L90" s="175"/>
      <c r="M90" s="175"/>
      <c r="N90" s="175"/>
      <c r="O90" s="175">
        <f>K90</f>
        <v>4343081</v>
      </c>
      <c r="P90" s="176">
        <f t="shared" si="2"/>
        <v>4343081</v>
      </c>
    </row>
    <row r="91" spans="1:16" ht="123" thickBot="1">
      <c r="A91" s="155" t="s">
        <v>388</v>
      </c>
      <c r="B91" s="155" t="s">
        <v>389</v>
      </c>
      <c r="C91" s="155" t="s">
        <v>142</v>
      </c>
      <c r="D91" s="146" t="s">
        <v>390</v>
      </c>
      <c r="E91" s="172"/>
      <c r="F91" s="172"/>
      <c r="G91" s="172"/>
      <c r="H91" s="172"/>
      <c r="I91" s="172"/>
      <c r="J91" s="172">
        <f t="shared" si="4"/>
        <v>597771</v>
      </c>
      <c r="K91" s="172">
        <v>597771</v>
      </c>
      <c r="L91" s="172"/>
      <c r="M91" s="172"/>
      <c r="N91" s="172"/>
      <c r="O91" s="172">
        <f>K91</f>
        <v>597771</v>
      </c>
      <c r="P91" s="171">
        <f>E91+J91</f>
        <v>597771</v>
      </c>
    </row>
    <row r="92" spans="1:16" s="21" customFormat="1" ht="125.25" customHeight="1">
      <c r="A92" s="151" t="s">
        <v>224</v>
      </c>
      <c r="B92" s="151"/>
      <c r="C92" s="151"/>
      <c r="D92" s="130" t="s">
        <v>225</v>
      </c>
      <c r="E92" s="173">
        <f aca="true" t="shared" si="16" ref="E92:N92">E93</f>
        <v>23449360</v>
      </c>
      <c r="F92" s="173">
        <f t="shared" si="16"/>
        <v>23449360</v>
      </c>
      <c r="G92" s="173">
        <f t="shared" si="16"/>
        <v>16753978</v>
      </c>
      <c r="H92" s="173">
        <f t="shared" si="16"/>
        <v>711081</v>
      </c>
      <c r="I92" s="173">
        <f t="shared" si="16"/>
        <v>0</v>
      </c>
      <c r="J92" s="173">
        <f t="shared" si="16"/>
        <v>110860</v>
      </c>
      <c r="K92" s="173">
        <f t="shared" si="16"/>
        <v>51460</v>
      </c>
      <c r="L92" s="173">
        <f t="shared" si="16"/>
        <v>59400</v>
      </c>
      <c r="M92" s="173">
        <f t="shared" si="16"/>
        <v>0</v>
      </c>
      <c r="N92" s="173">
        <f t="shared" si="16"/>
        <v>6588</v>
      </c>
      <c r="O92" s="173">
        <f t="shared" si="5"/>
        <v>51460</v>
      </c>
      <c r="P92" s="167">
        <f t="shared" si="2"/>
        <v>23560220</v>
      </c>
    </row>
    <row r="93" spans="1:16" s="21" customFormat="1" ht="128.25" customHeight="1">
      <c r="A93" s="152" t="s">
        <v>226</v>
      </c>
      <c r="B93" s="152"/>
      <c r="C93" s="152"/>
      <c r="D93" s="131" t="s">
        <v>225</v>
      </c>
      <c r="E93" s="177">
        <f aca="true" t="shared" si="17" ref="E93:N93">SUM(E94:E112)</f>
        <v>23449360</v>
      </c>
      <c r="F93" s="177">
        <f t="shared" si="17"/>
        <v>23449360</v>
      </c>
      <c r="G93" s="177">
        <f t="shared" si="17"/>
        <v>16753978</v>
      </c>
      <c r="H93" s="177">
        <f t="shared" si="17"/>
        <v>711081</v>
      </c>
      <c r="I93" s="177">
        <f t="shared" si="17"/>
        <v>0</v>
      </c>
      <c r="J93" s="177">
        <f t="shared" si="17"/>
        <v>110860</v>
      </c>
      <c r="K93" s="177">
        <f t="shared" si="17"/>
        <v>51460</v>
      </c>
      <c r="L93" s="177">
        <f t="shared" si="17"/>
        <v>59400</v>
      </c>
      <c r="M93" s="177">
        <f t="shared" si="17"/>
        <v>0</v>
      </c>
      <c r="N93" s="177">
        <f t="shared" si="17"/>
        <v>6588</v>
      </c>
      <c r="O93" s="177">
        <f t="shared" si="5"/>
        <v>51460</v>
      </c>
      <c r="P93" s="168">
        <f t="shared" si="2"/>
        <v>23560220</v>
      </c>
    </row>
    <row r="94" spans="1:16" ht="123">
      <c r="A94" s="153" t="s">
        <v>227</v>
      </c>
      <c r="B94" s="153" t="s">
        <v>188</v>
      </c>
      <c r="C94" s="153" t="s">
        <v>77</v>
      </c>
      <c r="D94" s="133" t="s">
        <v>189</v>
      </c>
      <c r="E94" s="169">
        <f aca="true" t="shared" si="18" ref="E94:E112">F94</f>
        <v>10965300</v>
      </c>
      <c r="F94" s="169">
        <f>10545242-4977+425035</f>
        <v>10965300</v>
      </c>
      <c r="G94" s="169">
        <f>10090886+425035</f>
        <v>10515921</v>
      </c>
      <c r="H94" s="169">
        <f>248614-4977</f>
        <v>243637</v>
      </c>
      <c r="I94" s="169"/>
      <c r="J94" s="169">
        <f t="shared" si="4"/>
        <v>0</v>
      </c>
      <c r="K94" s="169"/>
      <c r="L94" s="169"/>
      <c r="M94" s="169"/>
      <c r="N94" s="169"/>
      <c r="O94" s="169">
        <f t="shared" si="5"/>
        <v>0</v>
      </c>
      <c r="P94" s="170">
        <f t="shared" si="2"/>
        <v>10965300</v>
      </c>
    </row>
    <row r="95" spans="1:16" ht="98.25">
      <c r="A95" s="153" t="s">
        <v>343</v>
      </c>
      <c r="B95" s="153" t="s">
        <v>344</v>
      </c>
      <c r="C95" s="157" t="s">
        <v>111</v>
      </c>
      <c r="D95" s="132" t="s">
        <v>345</v>
      </c>
      <c r="E95" s="169">
        <f t="shared" si="18"/>
        <v>22260</v>
      </c>
      <c r="F95" s="169">
        <v>22260</v>
      </c>
      <c r="G95" s="169"/>
      <c r="H95" s="169"/>
      <c r="I95" s="169"/>
      <c r="J95" s="169">
        <f t="shared" si="4"/>
        <v>0</v>
      </c>
      <c r="K95" s="169"/>
      <c r="L95" s="169"/>
      <c r="M95" s="169"/>
      <c r="N95" s="169"/>
      <c r="O95" s="169">
        <f t="shared" si="5"/>
        <v>0</v>
      </c>
      <c r="P95" s="170">
        <f t="shared" si="2"/>
        <v>22260</v>
      </c>
    </row>
    <row r="96" spans="1:16" ht="73.5">
      <c r="A96" s="153" t="s">
        <v>346</v>
      </c>
      <c r="B96" s="153" t="s">
        <v>347</v>
      </c>
      <c r="C96" s="157" t="s">
        <v>348</v>
      </c>
      <c r="D96" s="132" t="s">
        <v>349</v>
      </c>
      <c r="E96" s="169">
        <f t="shared" si="18"/>
        <v>155360</v>
      </c>
      <c r="F96" s="169">
        <v>155360</v>
      </c>
      <c r="G96" s="169"/>
      <c r="H96" s="169"/>
      <c r="I96" s="169"/>
      <c r="J96" s="169">
        <f t="shared" si="4"/>
        <v>0</v>
      </c>
      <c r="K96" s="169"/>
      <c r="L96" s="169"/>
      <c r="M96" s="169"/>
      <c r="N96" s="169"/>
      <c r="O96" s="169">
        <f t="shared" si="5"/>
        <v>0</v>
      </c>
      <c r="P96" s="170">
        <f t="shared" si="2"/>
        <v>155360</v>
      </c>
    </row>
    <row r="97" spans="1:16" ht="123">
      <c r="A97" s="153" t="s">
        <v>350</v>
      </c>
      <c r="B97" s="153" t="s">
        <v>351</v>
      </c>
      <c r="C97" s="157" t="s">
        <v>348</v>
      </c>
      <c r="D97" s="132" t="s">
        <v>352</v>
      </c>
      <c r="E97" s="169">
        <f t="shared" si="18"/>
        <v>2800000</v>
      </c>
      <c r="F97" s="169">
        <v>2800000</v>
      </c>
      <c r="G97" s="169"/>
      <c r="H97" s="169"/>
      <c r="I97" s="169"/>
      <c r="J97" s="169">
        <f t="shared" si="4"/>
        <v>0</v>
      </c>
      <c r="K97" s="169"/>
      <c r="L97" s="169"/>
      <c r="M97" s="169"/>
      <c r="N97" s="169"/>
      <c r="O97" s="169">
        <f t="shared" si="5"/>
        <v>0</v>
      </c>
      <c r="P97" s="170">
        <f t="shared" si="2"/>
        <v>2800000</v>
      </c>
    </row>
    <row r="98" spans="1:16" ht="98.25">
      <c r="A98" s="156" t="s">
        <v>353</v>
      </c>
      <c r="B98" s="156" t="s">
        <v>354</v>
      </c>
      <c r="C98" s="156" t="s">
        <v>348</v>
      </c>
      <c r="D98" s="147" t="s">
        <v>355</v>
      </c>
      <c r="E98" s="169">
        <f t="shared" si="18"/>
        <v>153000</v>
      </c>
      <c r="F98" s="169">
        <v>153000</v>
      </c>
      <c r="G98" s="169"/>
      <c r="H98" s="169"/>
      <c r="I98" s="169"/>
      <c r="J98" s="169">
        <f t="shared" si="4"/>
        <v>0</v>
      </c>
      <c r="K98" s="169"/>
      <c r="L98" s="169"/>
      <c r="M98" s="169"/>
      <c r="N98" s="169"/>
      <c r="O98" s="169">
        <f t="shared" si="5"/>
        <v>0</v>
      </c>
      <c r="P98" s="170">
        <f t="shared" si="2"/>
        <v>153000</v>
      </c>
    </row>
    <row r="99" spans="1:16" ht="98.25">
      <c r="A99" s="153" t="s">
        <v>405</v>
      </c>
      <c r="B99" s="153" t="s">
        <v>406</v>
      </c>
      <c r="C99" s="153" t="s">
        <v>348</v>
      </c>
      <c r="D99" s="133" t="s">
        <v>407</v>
      </c>
      <c r="E99" s="169">
        <f t="shared" si="18"/>
        <v>81050</v>
      </c>
      <c r="F99" s="169">
        <v>81050</v>
      </c>
      <c r="G99" s="169"/>
      <c r="H99" s="169"/>
      <c r="I99" s="169"/>
      <c r="J99" s="169"/>
      <c r="K99" s="169"/>
      <c r="L99" s="169"/>
      <c r="M99" s="169"/>
      <c r="N99" s="169"/>
      <c r="O99" s="169"/>
      <c r="P99" s="170">
        <f t="shared" si="2"/>
        <v>81050</v>
      </c>
    </row>
    <row r="100" spans="1:16" ht="98.25">
      <c r="A100" s="153" t="s">
        <v>408</v>
      </c>
      <c r="B100" s="153" t="s">
        <v>409</v>
      </c>
      <c r="C100" s="153" t="s">
        <v>111</v>
      </c>
      <c r="D100" s="133" t="s">
        <v>410</v>
      </c>
      <c r="E100" s="169">
        <f t="shared" si="18"/>
        <v>65950</v>
      </c>
      <c r="F100" s="169">
        <v>65950</v>
      </c>
      <c r="G100" s="169"/>
      <c r="H100" s="169"/>
      <c r="I100" s="169"/>
      <c r="J100" s="169"/>
      <c r="K100" s="169"/>
      <c r="L100" s="169"/>
      <c r="M100" s="169"/>
      <c r="N100" s="169"/>
      <c r="O100" s="169"/>
      <c r="P100" s="170">
        <f>E100+J100</f>
        <v>65950</v>
      </c>
    </row>
    <row r="101" spans="1:16" ht="171.75">
      <c r="A101" s="153" t="s">
        <v>228</v>
      </c>
      <c r="B101" s="153" t="s">
        <v>229</v>
      </c>
      <c r="C101" s="153" t="s">
        <v>195</v>
      </c>
      <c r="D101" s="133" t="s">
        <v>230</v>
      </c>
      <c r="E101" s="169">
        <f t="shared" si="18"/>
        <v>4383186</v>
      </c>
      <c r="F101" s="169">
        <v>4383186</v>
      </c>
      <c r="G101" s="169">
        <v>4147907</v>
      </c>
      <c r="H101" s="169">
        <v>230279</v>
      </c>
      <c r="I101" s="169"/>
      <c r="J101" s="169">
        <f t="shared" si="4"/>
        <v>59400</v>
      </c>
      <c r="K101" s="169"/>
      <c r="L101" s="169">
        <v>59400</v>
      </c>
      <c r="M101" s="169"/>
      <c r="N101" s="169">
        <v>6588</v>
      </c>
      <c r="O101" s="169">
        <f t="shared" si="5"/>
        <v>0</v>
      </c>
      <c r="P101" s="170">
        <f aca="true" t="shared" si="19" ref="P101:P174">E101+J101</f>
        <v>4442586</v>
      </c>
    </row>
    <row r="102" spans="1:16" ht="98.25">
      <c r="A102" s="153" t="s">
        <v>231</v>
      </c>
      <c r="B102" s="153" t="s">
        <v>232</v>
      </c>
      <c r="C102" s="153" t="s">
        <v>191</v>
      </c>
      <c r="D102" s="133" t="s">
        <v>233</v>
      </c>
      <c r="E102" s="169">
        <f t="shared" si="18"/>
        <v>1855735</v>
      </c>
      <c r="F102" s="169">
        <f>1855735</f>
        <v>1855735</v>
      </c>
      <c r="G102" s="169">
        <v>1519206</v>
      </c>
      <c r="H102" s="169">
        <v>210332</v>
      </c>
      <c r="I102" s="169"/>
      <c r="J102" s="169">
        <f t="shared" si="4"/>
        <v>0</v>
      </c>
      <c r="K102" s="169"/>
      <c r="L102" s="169"/>
      <c r="M102" s="169"/>
      <c r="N102" s="169"/>
      <c r="O102" s="169">
        <f t="shared" si="5"/>
        <v>0</v>
      </c>
      <c r="P102" s="170">
        <f t="shared" si="19"/>
        <v>1855735</v>
      </c>
    </row>
    <row r="103" spans="1:16" ht="98.25">
      <c r="A103" s="153" t="s">
        <v>234</v>
      </c>
      <c r="B103" s="153" t="s">
        <v>235</v>
      </c>
      <c r="C103" s="153" t="s">
        <v>107</v>
      </c>
      <c r="D103" s="133" t="s">
        <v>236</v>
      </c>
      <c r="E103" s="169">
        <f t="shared" si="18"/>
        <v>605597</v>
      </c>
      <c r="F103" s="169">
        <f>605597</f>
        <v>605597</v>
      </c>
      <c r="G103" s="169">
        <v>559424</v>
      </c>
      <c r="H103" s="169">
        <v>26833</v>
      </c>
      <c r="I103" s="169"/>
      <c r="J103" s="169">
        <f aca="true" t="shared" si="20" ref="J103:J173">L103+O103</f>
        <v>0</v>
      </c>
      <c r="K103" s="169"/>
      <c r="L103" s="169"/>
      <c r="M103" s="169"/>
      <c r="N103" s="169"/>
      <c r="O103" s="169">
        <f aca="true" t="shared" si="21" ref="O103:O173">K103</f>
        <v>0</v>
      </c>
      <c r="P103" s="170">
        <f t="shared" si="19"/>
        <v>605597</v>
      </c>
    </row>
    <row r="104" spans="1:16" ht="48.75">
      <c r="A104" s="153" t="s">
        <v>237</v>
      </c>
      <c r="B104" s="153" t="s">
        <v>238</v>
      </c>
      <c r="C104" s="153" t="s">
        <v>107</v>
      </c>
      <c r="D104" s="133" t="s">
        <v>239</v>
      </c>
      <c r="E104" s="169">
        <f t="shared" si="18"/>
        <v>5000</v>
      </c>
      <c r="F104" s="169">
        <v>5000</v>
      </c>
      <c r="G104" s="169"/>
      <c r="H104" s="169"/>
      <c r="I104" s="169"/>
      <c r="J104" s="169">
        <f t="shared" si="20"/>
        <v>0</v>
      </c>
      <c r="K104" s="169"/>
      <c r="L104" s="169"/>
      <c r="M104" s="169"/>
      <c r="N104" s="169"/>
      <c r="O104" s="169">
        <f t="shared" si="21"/>
        <v>0</v>
      </c>
      <c r="P104" s="170">
        <f t="shared" si="19"/>
        <v>5000</v>
      </c>
    </row>
    <row r="105" spans="1:16" ht="270">
      <c r="A105" s="153" t="s">
        <v>356</v>
      </c>
      <c r="B105" s="153" t="s">
        <v>357</v>
      </c>
      <c r="C105" s="153" t="s">
        <v>191</v>
      </c>
      <c r="D105" s="133" t="s">
        <v>358</v>
      </c>
      <c r="E105" s="169">
        <f t="shared" si="18"/>
        <v>606834</v>
      </c>
      <c r="F105" s="169">
        <v>606834</v>
      </c>
      <c r="G105" s="169"/>
      <c r="H105" s="169"/>
      <c r="I105" s="169"/>
      <c r="J105" s="169">
        <f t="shared" si="20"/>
        <v>0</v>
      </c>
      <c r="K105" s="169"/>
      <c r="L105" s="169"/>
      <c r="M105" s="169"/>
      <c r="N105" s="169"/>
      <c r="O105" s="169">
        <f t="shared" si="21"/>
        <v>0</v>
      </c>
      <c r="P105" s="170">
        <f t="shared" si="19"/>
        <v>606834</v>
      </c>
    </row>
    <row r="106" spans="1:16" ht="221.25">
      <c r="A106" s="158" t="s">
        <v>359</v>
      </c>
      <c r="B106" s="158" t="s">
        <v>360</v>
      </c>
      <c r="C106" s="158" t="s">
        <v>361</v>
      </c>
      <c r="D106" s="137" t="s">
        <v>362</v>
      </c>
      <c r="E106" s="169">
        <f t="shared" si="18"/>
        <v>310166</v>
      </c>
      <c r="F106" s="169">
        <v>310166</v>
      </c>
      <c r="G106" s="169"/>
      <c r="H106" s="169"/>
      <c r="I106" s="169"/>
      <c r="J106" s="169">
        <f t="shared" si="20"/>
        <v>0</v>
      </c>
      <c r="K106" s="169"/>
      <c r="L106" s="169"/>
      <c r="M106" s="169"/>
      <c r="N106" s="169"/>
      <c r="O106" s="169">
        <f t="shared" si="21"/>
        <v>0</v>
      </c>
      <c r="P106" s="170">
        <f t="shared" si="19"/>
        <v>310166</v>
      </c>
    </row>
    <row r="107" spans="1:16" ht="73.5">
      <c r="A107" s="153" t="s">
        <v>363</v>
      </c>
      <c r="B107" s="153" t="s">
        <v>110</v>
      </c>
      <c r="C107" s="153" t="s">
        <v>111</v>
      </c>
      <c r="D107" s="133" t="s">
        <v>112</v>
      </c>
      <c r="E107" s="169">
        <f t="shared" si="18"/>
        <v>303324</v>
      </c>
      <c r="F107" s="169">
        <f>253324+50000</f>
        <v>303324</v>
      </c>
      <c r="G107" s="169"/>
      <c r="H107" s="169"/>
      <c r="I107" s="169"/>
      <c r="J107" s="169">
        <f t="shared" si="20"/>
        <v>0</v>
      </c>
      <c r="K107" s="169"/>
      <c r="L107" s="169"/>
      <c r="M107" s="169"/>
      <c r="N107" s="169"/>
      <c r="O107" s="169">
        <f t="shared" si="21"/>
        <v>0</v>
      </c>
      <c r="P107" s="170">
        <f t="shared" si="19"/>
        <v>303324</v>
      </c>
    </row>
    <row r="108" spans="1:16" ht="147">
      <c r="A108" s="153" t="s">
        <v>364</v>
      </c>
      <c r="B108" s="153" t="s">
        <v>365</v>
      </c>
      <c r="C108" s="153" t="s">
        <v>111</v>
      </c>
      <c r="D108" s="133" t="s">
        <v>366</v>
      </c>
      <c r="E108" s="169">
        <f t="shared" si="18"/>
        <v>300000</v>
      </c>
      <c r="F108" s="169">
        <v>300000</v>
      </c>
      <c r="G108" s="169"/>
      <c r="H108" s="169"/>
      <c r="I108" s="169"/>
      <c r="J108" s="169">
        <f t="shared" si="20"/>
        <v>0</v>
      </c>
      <c r="K108" s="169"/>
      <c r="L108" s="169"/>
      <c r="M108" s="169"/>
      <c r="N108" s="169"/>
      <c r="O108" s="169">
        <f t="shared" si="21"/>
        <v>0</v>
      </c>
      <c r="P108" s="170">
        <f t="shared" si="19"/>
        <v>300000</v>
      </c>
    </row>
    <row r="109" spans="1:16" ht="48.75">
      <c r="A109" s="156" t="s">
        <v>528</v>
      </c>
      <c r="B109" s="156" t="s">
        <v>505</v>
      </c>
      <c r="C109" s="156" t="s">
        <v>506</v>
      </c>
      <c r="D109" s="145" t="s">
        <v>507</v>
      </c>
      <c r="E109" s="169">
        <f t="shared" si="18"/>
        <v>11520</v>
      </c>
      <c r="F109" s="169">
        <v>11520</v>
      </c>
      <c r="G109" s="169">
        <v>11520</v>
      </c>
      <c r="H109" s="169"/>
      <c r="I109" s="169"/>
      <c r="J109" s="169"/>
      <c r="K109" s="169"/>
      <c r="L109" s="169"/>
      <c r="M109" s="169"/>
      <c r="N109" s="169"/>
      <c r="O109" s="169"/>
      <c r="P109" s="170">
        <f t="shared" si="19"/>
        <v>11520</v>
      </c>
    </row>
    <row r="110" spans="1:16" ht="73.5">
      <c r="A110" s="156" t="s">
        <v>367</v>
      </c>
      <c r="B110" s="156" t="s">
        <v>114</v>
      </c>
      <c r="C110" s="156" t="s">
        <v>115</v>
      </c>
      <c r="D110" s="145" t="s">
        <v>116</v>
      </c>
      <c r="E110" s="169">
        <f t="shared" si="18"/>
        <v>789380</v>
      </c>
      <c r="F110" s="169">
        <v>789380</v>
      </c>
      <c r="G110" s="169"/>
      <c r="H110" s="169"/>
      <c r="I110" s="169"/>
      <c r="J110" s="169">
        <f t="shared" si="20"/>
        <v>0</v>
      </c>
      <c r="K110" s="169"/>
      <c r="L110" s="169"/>
      <c r="M110" s="169"/>
      <c r="N110" s="169"/>
      <c r="O110" s="169">
        <f t="shared" si="21"/>
        <v>0</v>
      </c>
      <c r="P110" s="170">
        <f t="shared" si="19"/>
        <v>789380</v>
      </c>
    </row>
    <row r="111" spans="1:16" ht="48.75">
      <c r="A111" s="156" t="s">
        <v>527</v>
      </c>
      <c r="B111" s="156" t="s">
        <v>319</v>
      </c>
      <c r="C111" s="156" t="s">
        <v>141</v>
      </c>
      <c r="D111" s="145" t="s">
        <v>461</v>
      </c>
      <c r="E111" s="175"/>
      <c r="F111" s="175"/>
      <c r="G111" s="175"/>
      <c r="H111" s="175"/>
      <c r="I111" s="175"/>
      <c r="J111" s="169">
        <f t="shared" si="20"/>
        <v>51460</v>
      </c>
      <c r="K111" s="175">
        <f>51460</f>
        <v>51460</v>
      </c>
      <c r="L111" s="175"/>
      <c r="M111" s="175"/>
      <c r="N111" s="175"/>
      <c r="O111" s="169">
        <f t="shared" si="21"/>
        <v>51460</v>
      </c>
      <c r="P111" s="170">
        <f t="shared" si="19"/>
        <v>51460</v>
      </c>
    </row>
    <row r="112" spans="1:16" ht="49.5" thickBot="1">
      <c r="A112" s="155" t="s">
        <v>368</v>
      </c>
      <c r="B112" s="155" t="s">
        <v>151</v>
      </c>
      <c r="C112" s="155" t="s">
        <v>142</v>
      </c>
      <c r="D112" s="146" t="s">
        <v>152</v>
      </c>
      <c r="E112" s="172">
        <f t="shared" si="18"/>
        <v>35698</v>
      </c>
      <c r="F112" s="172">
        <v>35698</v>
      </c>
      <c r="G112" s="172"/>
      <c r="H112" s="172"/>
      <c r="I112" s="172"/>
      <c r="J112" s="172">
        <f t="shared" si="20"/>
        <v>0</v>
      </c>
      <c r="K112" s="172"/>
      <c r="L112" s="172"/>
      <c r="M112" s="172"/>
      <c r="N112" s="172"/>
      <c r="O112" s="172">
        <f t="shared" si="21"/>
        <v>0</v>
      </c>
      <c r="P112" s="171">
        <f t="shared" si="19"/>
        <v>35698</v>
      </c>
    </row>
    <row r="113" spans="1:16" s="21" customFormat="1" ht="72">
      <c r="A113" s="151" t="s">
        <v>240</v>
      </c>
      <c r="B113" s="151"/>
      <c r="C113" s="151"/>
      <c r="D113" s="130" t="s">
        <v>241</v>
      </c>
      <c r="E113" s="173">
        <f>E114</f>
        <v>33457992</v>
      </c>
      <c r="F113" s="173">
        <f aca="true" t="shared" si="22" ref="F113:N113">F114</f>
        <v>33457992</v>
      </c>
      <c r="G113" s="173">
        <f t="shared" si="22"/>
        <v>27744446</v>
      </c>
      <c r="H113" s="173">
        <f t="shared" si="22"/>
        <v>3633904</v>
      </c>
      <c r="I113" s="173">
        <f t="shared" si="22"/>
        <v>0</v>
      </c>
      <c r="J113" s="173">
        <f t="shared" si="22"/>
        <v>3120919</v>
      </c>
      <c r="K113" s="173">
        <f t="shared" si="22"/>
        <v>2013574</v>
      </c>
      <c r="L113" s="173">
        <f t="shared" si="22"/>
        <v>1107345</v>
      </c>
      <c r="M113" s="173">
        <f t="shared" si="22"/>
        <v>916905</v>
      </c>
      <c r="N113" s="173">
        <f t="shared" si="22"/>
        <v>18741</v>
      </c>
      <c r="O113" s="173">
        <f t="shared" si="21"/>
        <v>2013574</v>
      </c>
      <c r="P113" s="167">
        <f t="shared" si="19"/>
        <v>36578911</v>
      </c>
    </row>
    <row r="114" spans="1:16" s="21" customFormat="1" ht="72">
      <c r="A114" s="151" t="s">
        <v>242</v>
      </c>
      <c r="B114" s="151"/>
      <c r="C114" s="151"/>
      <c r="D114" s="130" t="s">
        <v>241</v>
      </c>
      <c r="E114" s="177">
        <f>SUM(E115:E124)</f>
        <v>33457992</v>
      </c>
      <c r="F114" s="177">
        <f aca="true" t="shared" si="23" ref="F114:N114">SUM(F115:F124)</f>
        <v>33457992</v>
      </c>
      <c r="G114" s="177">
        <f t="shared" si="23"/>
        <v>27744446</v>
      </c>
      <c r="H114" s="177">
        <f t="shared" si="23"/>
        <v>3633904</v>
      </c>
      <c r="I114" s="177">
        <f t="shared" si="23"/>
        <v>0</v>
      </c>
      <c r="J114" s="177">
        <f t="shared" si="23"/>
        <v>3120919</v>
      </c>
      <c r="K114" s="177">
        <f t="shared" si="23"/>
        <v>2013574</v>
      </c>
      <c r="L114" s="177">
        <f t="shared" si="23"/>
        <v>1107345</v>
      </c>
      <c r="M114" s="177">
        <f t="shared" si="23"/>
        <v>916905</v>
      </c>
      <c r="N114" s="177">
        <f t="shared" si="23"/>
        <v>18741</v>
      </c>
      <c r="O114" s="177">
        <f t="shared" si="21"/>
        <v>2013574</v>
      </c>
      <c r="P114" s="168">
        <f t="shared" si="19"/>
        <v>36578911</v>
      </c>
    </row>
    <row r="115" spans="1:16" ht="123">
      <c r="A115" s="153" t="s">
        <v>243</v>
      </c>
      <c r="B115" s="153" t="s">
        <v>188</v>
      </c>
      <c r="C115" s="153" t="s">
        <v>77</v>
      </c>
      <c r="D115" s="133" t="s">
        <v>189</v>
      </c>
      <c r="E115" s="169">
        <f>F115</f>
        <v>859364</v>
      </c>
      <c r="F115" s="169">
        <f>820650+38714</f>
        <v>859364</v>
      </c>
      <c r="G115" s="169">
        <f>784745+38714</f>
        <v>823459</v>
      </c>
      <c r="H115" s="169">
        <v>17505</v>
      </c>
      <c r="I115" s="169"/>
      <c r="J115" s="169">
        <f t="shared" si="20"/>
        <v>0</v>
      </c>
      <c r="K115" s="169"/>
      <c r="L115" s="169"/>
      <c r="M115" s="169"/>
      <c r="N115" s="169"/>
      <c r="O115" s="169">
        <f t="shared" si="21"/>
        <v>0</v>
      </c>
      <c r="P115" s="170">
        <f t="shared" si="19"/>
        <v>859364</v>
      </c>
    </row>
    <row r="116" spans="1:16" ht="48.75">
      <c r="A116" s="153" t="s">
        <v>244</v>
      </c>
      <c r="B116" s="153" t="s">
        <v>245</v>
      </c>
      <c r="C116" s="153" t="s">
        <v>204</v>
      </c>
      <c r="D116" s="133" t="s">
        <v>466</v>
      </c>
      <c r="E116" s="169">
        <f>F116</f>
        <v>15243523</v>
      </c>
      <c r="F116" s="169">
        <f>15295783-52260</f>
        <v>15243523</v>
      </c>
      <c r="G116" s="169">
        <v>13634760</v>
      </c>
      <c r="H116" s="169">
        <f>1521252+70866-52260</f>
        <v>1539858</v>
      </c>
      <c r="I116" s="169"/>
      <c r="J116" s="169">
        <f t="shared" si="20"/>
        <v>924685</v>
      </c>
      <c r="K116" s="169"/>
      <c r="L116" s="169">
        <v>924685</v>
      </c>
      <c r="M116" s="169">
        <v>898605</v>
      </c>
      <c r="N116" s="169">
        <v>5851</v>
      </c>
      <c r="O116" s="169">
        <f t="shared" si="21"/>
        <v>0</v>
      </c>
      <c r="P116" s="170">
        <f t="shared" si="19"/>
        <v>16168208</v>
      </c>
    </row>
    <row r="117" spans="1:16" ht="48.75">
      <c r="A117" s="153" t="s">
        <v>246</v>
      </c>
      <c r="B117" s="153" t="s">
        <v>247</v>
      </c>
      <c r="C117" s="153" t="s">
        <v>248</v>
      </c>
      <c r="D117" s="133" t="s">
        <v>249</v>
      </c>
      <c r="E117" s="169">
        <f aca="true" t="shared" si="24" ref="E117:E124">F117</f>
        <v>4732724</v>
      </c>
      <c r="F117" s="169">
        <f>4687744-29863+114843-40000</f>
        <v>4732724</v>
      </c>
      <c r="G117" s="169">
        <f>4067055+118170-9969+94288</f>
        <v>4269544</v>
      </c>
      <c r="H117" s="169">
        <f>283262+29236-29863+11835</f>
        <v>294470</v>
      </c>
      <c r="I117" s="169"/>
      <c r="J117" s="169">
        <f t="shared" si="20"/>
        <v>48160</v>
      </c>
      <c r="K117" s="169">
        <f>40000</f>
        <v>40000</v>
      </c>
      <c r="L117" s="169">
        <v>8160</v>
      </c>
      <c r="M117" s="169"/>
      <c r="N117" s="169">
        <v>1370</v>
      </c>
      <c r="O117" s="169">
        <f t="shared" si="21"/>
        <v>40000</v>
      </c>
      <c r="P117" s="170">
        <f t="shared" si="19"/>
        <v>4780884</v>
      </c>
    </row>
    <row r="118" spans="1:16" ht="48.75">
      <c r="A118" s="153" t="s">
        <v>250</v>
      </c>
      <c r="B118" s="153" t="s">
        <v>251</v>
      </c>
      <c r="C118" s="153" t="s">
        <v>248</v>
      </c>
      <c r="D118" s="133" t="s">
        <v>252</v>
      </c>
      <c r="E118" s="169">
        <f t="shared" si="24"/>
        <v>1279372</v>
      </c>
      <c r="F118" s="169">
        <f>1259549-2738+22561</f>
        <v>1279372</v>
      </c>
      <c r="G118" s="169">
        <f>738354+141385</f>
        <v>879739</v>
      </c>
      <c r="H118" s="169">
        <f>320686-2738</f>
        <v>317948</v>
      </c>
      <c r="I118" s="169"/>
      <c r="J118" s="169">
        <f t="shared" si="20"/>
        <v>14500</v>
      </c>
      <c r="K118" s="169"/>
      <c r="L118" s="169">
        <v>14500</v>
      </c>
      <c r="M118" s="169"/>
      <c r="N118" s="169"/>
      <c r="O118" s="169">
        <f t="shared" si="21"/>
        <v>0</v>
      </c>
      <c r="P118" s="170">
        <f t="shared" si="19"/>
        <v>1293872</v>
      </c>
    </row>
    <row r="119" spans="1:16" ht="134.25" customHeight="1">
      <c r="A119" s="153" t="s">
        <v>253</v>
      </c>
      <c r="B119" s="153" t="s">
        <v>254</v>
      </c>
      <c r="C119" s="153" t="s">
        <v>255</v>
      </c>
      <c r="D119" s="132" t="s">
        <v>256</v>
      </c>
      <c r="E119" s="169">
        <f t="shared" si="24"/>
        <v>8913996</v>
      </c>
      <c r="F119" s="169">
        <f>8222947-11199+682826+19422</f>
        <v>8913996</v>
      </c>
      <c r="G119" s="169">
        <f>6755061+423754</f>
        <v>7178815</v>
      </c>
      <c r="H119" s="169">
        <f>1180634+4828+13025+15467-11199+234527</f>
        <v>1437282</v>
      </c>
      <c r="I119" s="169"/>
      <c r="J119" s="169">
        <f t="shared" si="20"/>
        <v>1035682</v>
      </c>
      <c r="K119" s="169">
        <f>845082+30600</f>
        <v>875682</v>
      </c>
      <c r="L119" s="169">
        <v>160000</v>
      </c>
      <c r="M119" s="169">
        <v>18300</v>
      </c>
      <c r="N119" s="169">
        <v>11520</v>
      </c>
      <c r="O119" s="169">
        <f t="shared" si="21"/>
        <v>875682</v>
      </c>
      <c r="P119" s="170">
        <f t="shared" si="19"/>
        <v>9949678</v>
      </c>
    </row>
    <row r="120" spans="1:16" ht="73.5">
      <c r="A120" s="158" t="s">
        <v>257</v>
      </c>
      <c r="B120" s="158" t="s">
        <v>258</v>
      </c>
      <c r="C120" s="153" t="s">
        <v>259</v>
      </c>
      <c r="D120" s="143" t="s">
        <v>260</v>
      </c>
      <c r="E120" s="169">
        <f t="shared" si="24"/>
        <v>970918</v>
      </c>
      <c r="F120" s="169">
        <v>970918</v>
      </c>
      <c r="G120" s="169">
        <v>914514</v>
      </c>
      <c r="H120" s="169">
        <v>26841</v>
      </c>
      <c r="I120" s="169"/>
      <c r="J120" s="169">
        <f t="shared" si="20"/>
        <v>0</v>
      </c>
      <c r="K120" s="169"/>
      <c r="L120" s="169"/>
      <c r="M120" s="169"/>
      <c r="N120" s="169"/>
      <c r="O120" s="169">
        <f t="shared" si="21"/>
        <v>0</v>
      </c>
      <c r="P120" s="170">
        <f t="shared" si="19"/>
        <v>970918</v>
      </c>
    </row>
    <row r="121" spans="1:16" ht="48.75">
      <c r="A121" s="153" t="s">
        <v>261</v>
      </c>
      <c r="B121" s="153" t="s">
        <v>262</v>
      </c>
      <c r="C121" s="159" t="s">
        <v>259</v>
      </c>
      <c r="D121" s="133" t="s">
        <v>263</v>
      </c>
      <c r="E121" s="169">
        <f t="shared" si="24"/>
        <v>1298095</v>
      </c>
      <c r="F121" s="169">
        <f>1250850+47245</f>
        <v>1298095</v>
      </c>
      <c r="G121" s="169">
        <v>43615</v>
      </c>
      <c r="H121" s="169"/>
      <c r="I121" s="169"/>
      <c r="J121" s="169">
        <f t="shared" si="20"/>
        <v>0</v>
      </c>
      <c r="K121" s="169"/>
      <c r="L121" s="169"/>
      <c r="M121" s="169"/>
      <c r="N121" s="169"/>
      <c r="O121" s="169">
        <f t="shared" si="21"/>
        <v>0</v>
      </c>
      <c r="P121" s="170">
        <f t="shared" si="19"/>
        <v>1298095</v>
      </c>
    </row>
    <row r="122" spans="1:16" ht="48.75">
      <c r="A122" s="156" t="s">
        <v>508</v>
      </c>
      <c r="B122" s="156" t="s">
        <v>509</v>
      </c>
      <c r="C122" s="199" t="s">
        <v>141</v>
      </c>
      <c r="D122" s="145" t="s">
        <v>510</v>
      </c>
      <c r="E122" s="175"/>
      <c r="F122" s="175"/>
      <c r="G122" s="175"/>
      <c r="H122" s="175"/>
      <c r="I122" s="175"/>
      <c r="J122" s="175">
        <f t="shared" si="20"/>
        <v>897892</v>
      </c>
      <c r="K122" s="175">
        <f>297892+600000</f>
        <v>897892</v>
      </c>
      <c r="L122" s="175"/>
      <c r="M122" s="175"/>
      <c r="N122" s="175"/>
      <c r="O122" s="175">
        <f>K122</f>
        <v>897892</v>
      </c>
      <c r="P122" s="170">
        <f t="shared" si="19"/>
        <v>897892</v>
      </c>
    </row>
    <row r="123" spans="1:16" ht="73.5">
      <c r="A123" s="156" t="s">
        <v>511</v>
      </c>
      <c r="B123" s="156" t="s">
        <v>512</v>
      </c>
      <c r="C123" s="199" t="s">
        <v>141</v>
      </c>
      <c r="D123" s="145" t="s">
        <v>513</v>
      </c>
      <c r="E123" s="175"/>
      <c r="F123" s="175"/>
      <c r="G123" s="175"/>
      <c r="H123" s="175"/>
      <c r="I123" s="175"/>
      <c r="J123" s="175">
        <f t="shared" si="20"/>
        <v>200000</v>
      </c>
      <c r="K123" s="175">
        <f>200000</f>
        <v>200000</v>
      </c>
      <c r="L123" s="175"/>
      <c r="M123" s="175"/>
      <c r="N123" s="175"/>
      <c r="O123" s="175">
        <f>K123</f>
        <v>200000</v>
      </c>
      <c r="P123" s="170">
        <f t="shared" si="19"/>
        <v>200000</v>
      </c>
    </row>
    <row r="124" spans="1:16" ht="49.5" thickBot="1">
      <c r="A124" s="155" t="s">
        <v>264</v>
      </c>
      <c r="B124" s="155" t="s">
        <v>265</v>
      </c>
      <c r="C124" s="155" t="s">
        <v>266</v>
      </c>
      <c r="D124" s="148" t="s">
        <v>267</v>
      </c>
      <c r="E124" s="172">
        <f t="shared" si="24"/>
        <v>160000</v>
      </c>
      <c r="F124" s="172">
        <f>80000+80000</f>
        <v>160000</v>
      </c>
      <c r="G124" s="172"/>
      <c r="H124" s="172"/>
      <c r="I124" s="172"/>
      <c r="J124" s="172">
        <f t="shared" si="20"/>
        <v>0</v>
      </c>
      <c r="K124" s="172"/>
      <c r="L124" s="172"/>
      <c r="M124" s="172"/>
      <c r="N124" s="172"/>
      <c r="O124" s="172">
        <f t="shared" si="21"/>
        <v>0</v>
      </c>
      <c r="P124" s="171">
        <f t="shared" si="19"/>
        <v>160000</v>
      </c>
    </row>
    <row r="125" spans="1:16" s="21" customFormat="1" ht="96">
      <c r="A125" s="151" t="s">
        <v>268</v>
      </c>
      <c r="B125" s="160"/>
      <c r="C125" s="161"/>
      <c r="D125" s="130" t="s">
        <v>269</v>
      </c>
      <c r="E125" s="173">
        <f>E126</f>
        <v>10216950</v>
      </c>
      <c r="F125" s="173">
        <f aca="true" t="shared" si="25" ref="F125:N125">F126</f>
        <v>10216950</v>
      </c>
      <c r="G125" s="173">
        <f t="shared" si="25"/>
        <v>3889784</v>
      </c>
      <c r="H125" s="173">
        <f t="shared" si="25"/>
        <v>72537</v>
      </c>
      <c r="I125" s="173">
        <f t="shared" si="25"/>
        <v>0</v>
      </c>
      <c r="J125" s="173">
        <f t="shared" si="25"/>
        <v>1488615</v>
      </c>
      <c r="K125" s="173">
        <f t="shared" si="25"/>
        <v>1488615</v>
      </c>
      <c r="L125" s="173">
        <f t="shared" si="25"/>
        <v>0</v>
      </c>
      <c r="M125" s="173">
        <f t="shared" si="25"/>
        <v>0</v>
      </c>
      <c r="N125" s="173">
        <f t="shared" si="25"/>
        <v>0</v>
      </c>
      <c r="O125" s="173">
        <f t="shared" si="21"/>
        <v>1488615</v>
      </c>
      <c r="P125" s="167">
        <f t="shared" si="19"/>
        <v>11705565</v>
      </c>
    </row>
    <row r="126" spans="1:16" s="21" customFormat="1" ht="96">
      <c r="A126" s="152" t="s">
        <v>270</v>
      </c>
      <c r="B126" s="152"/>
      <c r="C126" s="152"/>
      <c r="D126" s="131" t="s">
        <v>269</v>
      </c>
      <c r="E126" s="177">
        <f>SUM(E127:E138)</f>
        <v>10216950</v>
      </c>
      <c r="F126" s="177">
        <f aca="true" t="shared" si="26" ref="F126:N126">SUM(F127:F138)</f>
        <v>10216950</v>
      </c>
      <c r="G126" s="177">
        <f t="shared" si="26"/>
        <v>3889784</v>
      </c>
      <c r="H126" s="177">
        <f t="shared" si="26"/>
        <v>72537</v>
      </c>
      <c r="I126" s="177">
        <f t="shared" si="26"/>
        <v>0</v>
      </c>
      <c r="J126" s="177">
        <f t="shared" si="26"/>
        <v>1488615</v>
      </c>
      <c r="K126" s="177">
        <f t="shared" si="26"/>
        <v>1488615</v>
      </c>
      <c r="L126" s="177">
        <f t="shared" si="26"/>
        <v>0</v>
      </c>
      <c r="M126" s="177">
        <f t="shared" si="26"/>
        <v>0</v>
      </c>
      <c r="N126" s="177">
        <f t="shared" si="26"/>
        <v>0</v>
      </c>
      <c r="O126" s="177">
        <f t="shared" si="21"/>
        <v>1488615</v>
      </c>
      <c r="P126" s="168">
        <f t="shared" si="19"/>
        <v>11705565</v>
      </c>
    </row>
    <row r="127" spans="1:16" ht="123">
      <c r="A127" s="153" t="s">
        <v>271</v>
      </c>
      <c r="B127" s="153" t="s">
        <v>188</v>
      </c>
      <c r="C127" s="153" t="s">
        <v>77</v>
      </c>
      <c r="D127" s="133" t="s">
        <v>189</v>
      </c>
      <c r="E127" s="169">
        <f aca="true" t="shared" si="27" ref="E127:E138">F127</f>
        <v>1075061</v>
      </c>
      <c r="F127" s="169">
        <f>1028030+47031</f>
        <v>1075061</v>
      </c>
      <c r="G127" s="169">
        <f>970553+47031</f>
        <v>1017584</v>
      </c>
      <c r="H127" s="169">
        <v>25477</v>
      </c>
      <c r="I127" s="169"/>
      <c r="J127" s="169">
        <f t="shared" si="20"/>
        <v>0</v>
      </c>
      <c r="K127" s="169"/>
      <c r="L127" s="169"/>
      <c r="M127" s="169"/>
      <c r="N127" s="169"/>
      <c r="O127" s="169">
        <f t="shared" si="21"/>
        <v>0</v>
      </c>
      <c r="P127" s="170">
        <f t="shared" si="19"/>
        <v>1075061</v>
      </c>
    </row>
    <row r="128" spans="1:16" ht="48.75">
      <c r="A128" s="153" t="s">
        <v>272</v>
      </c>
      <c r="B128" s="153" t="s">
        <v>273</v>
      </c>
      <c r="C128" s="153" t="s">
        <v>107</v>
      </c>
      <c r="D128" s="138" t="s">
        <v>274</v>
      </c>
      <c r="E128" s="169">
        <f t="shared" si="27"/>
        <v>70700</v>
      </c>
      <c r="F128" s="169">
        <v>70700</v>
      </c>
      <c r="G128" s="169"/>
      <c r="H128" s="169"/>
      <c r="I128" s="169"/>
      <c r="J128" s="169">
        <f t="shared" si="20"/>
        <v>0</v>
      </c>
      <c r="K128" s="169"/>
      <c r="L128" s="169"/>
      <c r="M128" s="169"/>
      <c r="N128" s="169"/>
      <c r="O128" s="169">
        <f t="shared" si="21"/>
        <v>0</v>
      </c>
      <c r="P128" s="170">
        <f t="shared" si="19"/>
        <v>70700</v>
      </c>
    </row>
    <row r="129" spans="1:16" ht="196.5">
      <c r="A129" s="153" t="s">
        <v>275</v>
      </c>
      <c r="B129" s="153" t="s">
        <v>276</v>
      </c>
      <c r="C129" s="153" t="s">
        <v>107</v>
      </c>
      <c r="D129" s="138" t="s">
        <v>277</v>
      </c>
      <c r="E129" s="169">
        <f t="shared" si="27"/>
        <v>361200</v>
      </c>
      <c r="F129" s="169">
        <f>361200</f>
        <v>361200</v>
      </c>
      <c r="G129" s="169"/>
      <c r="H129" s="169"/>
      <c r="I129" s="169"/>
      <c r="J129" s="169">
        <f t="shared" si="20"/>
        <v>0</v>
      </c>
      <c r="K129" s="169"/>
      <c r="L129" s="169"/>
      <c r="M129" s="169"/>
      <c r="N129" s="169"/>
      <c r="O129" s="169">
        <f t="shared" si="21"/>
        <v>0</v>
      </c>
      <c r="P129" s="170">
        <f t="shared" si="19"/>
        <v>361200</v>
      </c>
    </row>
    <row r="130" spans="1:16" ht="48.75">
      <c r="A130" s="153" t="s">
        <v>529</v>
      </c>
      <c r="B130" s="153" t="s">
        <v>505</v>
      </c>
      <c r="C130" s="153" t="s">
        <v>506</v>
      </c>
      <c r="D130" s="138" t="s">
        <v>507</v>
      </c>
      <c r="E130" s="169">
        <f>F130</f>
        <v>11520</v>
      </c>
      <c r="F130" s="169">
        <v>11520</v>
      </c>
      <c r="G130" s="169">
        <v>11520</v>
      </c>
      <c r="H130" s="169"/>
      <c r="I130" s="169"/>
      <c r="J130" s="169"/>
      <c r="K130" s="169"/>
      <c r="L130" s="169"/>
      <c r="M130" s="169"/>
      <c r="N130" s="169"/>
      <c r="O130" s="169"/>
      <c r="P130" s="170">
        <f t="shared" si="19"/>
        <v>11520</v>
      </c>
    </row>
    <row r="131" spans="1:16" ht="98.25">
      <c r="A131" s="153" t="s">
        <v>278</v>
      </c>
      <c r="B131" s="153" t="s">
        <v>279</v>
      </c>
      <c r="C131" s="153" t="s">
        <v>219</v>
      </c>
      <c r="D131" s="133" t="s">
        <v>280</v>
      </c>
      <c r="E131" s="169">
        <f t="shared" si="27"/>
        <v>440000</v>
      </c>
      <c r="F131" s="169">
        <f>440000</f>
        <v>440000</v>
      </c>
      <c r="G131" s="169"/>
      <c r="H131" s="169"/>
      <c r="I131" s="169"/>
      <c r="J131" s="169">
        <f t="shared" si="20"/>
        <v>0</v>
      </c>
      <c r="K131" s="169"/>
      <c r="L131" s="169"/>
      <c r="M131" s="169"/>
      <c r="N131" s="169"/>
      <c r="O131" s="169">
        <f t="shared" si="21"/>
        <v>0</v>
      </c>
      <c r="P131" s="170">
        <f t="shared" si="19"/>
        <v>440000</v>
      </c>
    </row>
    <row r="132" spans="1:16" ht="98.25">
      <c r="A132" s="153" t="s">
        <v>281</v>
      </c>
      <c r="B132" s="153" t="s">
        <v>218</v>
      </c>
      <c r="C132" s="153" t="s">
        <v>219</v>
      </c>
      <c r="D132" s="133" t="s">
        <v>220</v>
      </c>
      <c r="E132" s="169">
        <f t="shared" si="27"/>
        <v>2732769</v>
      </c>
      <c r="F132" s="169">
        <f>2732769</f>
        <v>2732769</v>
      </c>
      <c r="G132" s="169">
        <f>2253756+391814</f>
        <v>2645570</v>
      </c>
      <c r="H132" s="169">
        <f>42032</f>
        <v>42032</v>
      </c>
      <c r="I132" s="169"/>
      <c r="J132" s="169">
        <f t="shared" si="20"/>
        <v>0</v>
      </c>
      <c r="K132" s="169"/>
      <c r="L132" s="169"/>
      <c r="M132" s="169"/>
      <c r="N132" s="169"/>
      <c r="O132" s="169">
        <f t="shared" si="21"/>
        <v>0</v>
      </c>
      <c r="P132" s="170">
        <f t="shared" si="19"/>
        <v>2732769</v>
      </c>
    </row>
    <row r="133" spans="1:16" ht="73.5">
      <c r="A133" s="153" t="s">
        <v>282</v>
      </c>
      <c r="B133" s="153" t="s">
        <v>283</v>
      </c>
      <c r="C133" s="153" t="s">
        <v>219</v>
      </c>
      <c r="D133" s="133" t="s">
        <v>284</v>
      </c>
      <c r="E133" s="169">
        <f t="shared" si="27"/>
        <v>3651500</v>
      </c>
      <c r="F133" s="169">
        <v>3651500</v>
      </c>
      <c r="G133" s="169"/>
      <c r="H133" s="169"/>
      <c r="I133" s="169"/>
      <c r="J133" s="169">
        <f t="shared" si="20"/>
        <v>0</v>
      </c>
      <c r="K133" s="169"/>
      <c r="L133" s="169"/>
      <c r="M133" s="169"/>
      <c r="N133" s="169"/>
      <c r="O133" s="169">
        <f t="shared" si="21"/>
        <v>0</v>
      </c>
      <c r="P133" s="170">
        <f t="shared" si="19"/>
        <v>3651500</v>
      </c>
    </row>
    <row r="134" spans="1:16" ht="123">
      <c r="A134" s="153" t="s">
        <v>285</v>
      </c>
      <c r="B134" s="153" t="s">
        <v>286</v>
      </c>
      <c r="C134" s="153" t="s">
        <v>219</v>
      </c>
      <c r="D134" s="138" t="s">
        <v>287</v>
      </c>
      <c r="E134" s="169">
        <f t="shared" si="27"/>
        <v>1630200</v>
      </c>
      <c r="F134" s="169">
        <v>1630200</v>
      </c>
      <c r="G134" s="169"/>
      <c r="H134" s="169"/>
      <c r="I134" s="169"/>
      <c r="J134" s="169">
        <f t="shared" si="20"/>
        <v>0</v>
      </c>
      <c r="K134" s="169"/>
      <c r="L134" s="169"/>
      <c r="M134" s="169"/>
      <c r="N134" s="169"/>
      <c r="O134" s="169">
        <f t="shared" si="21"/>
        <v>0</v>
      </c>
      <c r="P134" s="170">
        <f t="shared" si="19"/>
        <v>1630200</v>
      </c>
    </row>
    <row r="135" spans="1:16" ht="48.75">
      <c r="A135" s="153" t="s">
        <v>288</v>
      </c>
      <c r="B135" s="153" t="s">
        <v>289</v>
      </c>
      <c r="C135" s="153" t="s">
        <v>219</v>
      </c>
      <c r="D135" s="138" t="s">
        <v>290</v>
      </c>
      <c r="E135" s="169">
        <f t="shared" si="27"/>
        <v>226000</v>
      </c>
      <c r="F135" s="169">
        <v>226000</v>
      </c>
      <c r="G135" s="169">
        <v>215110</v>
      </c>
      <c r="H135" s="169">
        <v>5028</v>
      </c>
      <c r="I135" s="169"/>
      <c r="J135" s="169">
        <f t="shared" si="20"/>
        <v>0</v>
      </c>
      <c r="K135" s="169"/>
      <c r="L135" s="169"/>
      <c r="M135" s="169"/>
      <c r="N135" s="169"/>
      <c r="O135" s="169">
        <f t="shared" si="21"/>
        <v>0</v>
      </c>
      <c r="P135" s="170">
        <f t="shared" si="19"/>
        <v>226000</v>
      </c>
    </row>
    <row r="136" spans="1:16" ht="73.5">
      <c r="A136" s="156" t="s">
        <v>475</v>
      </c>
      <c r="B136" s="156" t="s">
        <v>476</v>
      </c>
      <c r="C136" s="153" t="s">
        <v>141</v>
      </c>
      <c r="D136" s="138" t="s">
        <v>477</v>
      </c>
      <c r="E136" s="175"/>
      <c r="F136" s="175"/>
      <c r="G136" s="175"/>
      <c r="H136" s="175"/>
      <c r="I136" s="175"/>
      <c r="J136" s="175">
        <f t="shared" si="20"/>
        <v>575498</v>
      </c>
      <c r="K136" s="175">
        <v>575498</v>
      </c>
      <c r="L136" s="175"/>
      <c r="M136" s="175"/>
      <c r="N136" s="175"/>
      <c r="O136" s="175">
        <f>K136</f>
        <v>575498</v>
      </c>
      <c r="P136" s="170">
        <f t="shared" si="19"/>
        <v>575498</v>
      </c>
    </row>
    <row r="137" spans="1:16" ht="123">
      <c r="A137" s="156" t="s">
        <v>462</v>
      </c>
      <c r="B137" s="156" t="s">
        <v>389</v>
      </c>
      <c r="C137" s="153" t="s">
        <v>142</v>
      </c>
      <c r="D137" s="133" t="s">
        <v>390</v>
      </c>
      <c r="E137" s="175"/>
      <c r="F137" s="175"/>
      <c r="G137" s="175"/>
      <c r="H137" s="175"/>
      <c r="I137" s="175"/>
      <c r="J137" s="175">
        <f t="shared" si="20"/>
        <v>913117</v>
      </c>
      <c r="K137" s="175">
        <f>174734+738383</f>
        <v>913117</v>
      </c>
      <c r="L137" s="175"/>
      <c r="M137" s="175"/>
      <c r="N137" s="175"/>
      <c r="O137" s="175">
        <f>K137</f>
        <v>913117</v>
      </c>
      <c r="P137" s="170">
        <f t="shared" si="19"/>
        <v>913117</v>
      </c>
    </row>
    <row r="138" spans="1:16" ht="49.5" thickBot="1">
      <c r="A138" s="155" t="s">
        <v>291</v>
      </c>
      <c r="B138" s="155" t="s">
        <v>151</v>
      </c>
      <c r="C138" s="155" t="s">
        <v>142</v>
      </c>
      <c r="D138" s="146" t="s">
        <v>152</v>
      </c>
      <c r="E138" s="172">
        <f t="shared" si="27"/>
        <v>18000</v>
      </c>
      <c r="F138" s="172">
        <v>18000</v>
      </c>
      <c r="G138" s="172"/>
      <c r="H138" s="172"/>
      <c r="I138" s="172"/>
      <c r="J138" s="172">
        <f t="shared" si="20"/>
        <v>0</v>
      </c>
      <c r="K138" s="172"/>
      <c r="L138" s="172"/>
      <c r="M138" s="172"/>
      <c r="N138" s="172"/>
      <c r="O138" s="172">
        <f t="shared" si="21"/>
        <v>0</v>
      </c>
      <c r="P138" s="171">
        <f t="shared" si="19"/>
        <v>18000</v>
      </c>
    </row>
    <row r="139" spans="1:16" s="21" customFormat="1" ht="120">
      <c r="A139" s="151" t="s">
        <v>292</v>
      </c>
      <c r="B139" s="151"/>
      <c r="C139" s="151"/>
      <c r="D139" s="149" t="s">
        <v>293</v>
      </c>
      <c r="E139" s="173">
        <f>E140</f>
        <v>1609757</v>
      </c>
      <c r="F139" s="173">
        <f aca="true" t="shared" si="28" ref="F139:N139">F140</f>
        <v>1609757</v>
      </c>
      <c r="G139" s="173">
        <f t="shared" si="28"/>
        <v>1241598</v>
      </c>
      <c r="H139" s="173">
        <f t="shared" si="28"/>
        <v>38432</v>
      </c>
      <c r="I139" s="173">
        <f t="shared" si="28"/>
        <v>0</v>
      </c>
      <c r="J139" s="173">
        <f t="shared" si="28"/>
        <v>6689527</v>
      </c>
      <c r="K139" s="173">
        <f t="shared" si="28"/>
        <v>6689527</v>
      </c>
      <c r="L139" s="173">
        <f t="shared" si="28"/>
        <v>0</v>
      </c>
      <c r="M139" s="173">
        <f t="shared" si="28"/>
        <v>0</v>
      </c>
      <c r="N139" s="173">
        <f t="shared" si="28"/>
        <v>0</v>
      </c>
      <c r="O139" s="173">
        <f t="shared" si="21"/>
        <v>6689527</v>
      </c>
      <c r="P139" s="167">
        <f t="shared" si="19"/>
        <v>8299284</v>
      </c>
    </row>
    <row r="140" spans="1:16" s="21" customFormat="1" ht="120">
      <c r="A140" s="151" t="s">
        <v>294</v>
      </c>
      <c r="B140" s="151"/>
      <c r="C140" s="151"/>
      <c r="D140" s="149" t="s">
        <v>293</v>
      </c>
      <c r="E140" s="177">
        <f>E141+E142+E143+E144</f>
        <v>1609757</v>
      </c>
      <c r="F140" s="177">
        <f aca="true" t="shared" si="29" ref="F140:O140">F141+F142+F143+F144</f>
        <v>1609757</v>
      </c>
      <c r="G140" s="177">
        <f t="shared" si="29"/>
        <v>1241598</v>
      </c>
      <c r="H140" s="177">
        <f t="shared" si="29"/>
        <v>38432</v>
      </c>
      <c r="I140" s="177">
        <f t="shared" si="29"/>
        <v>0</v>
      </c>
      <c r="J140" s="177">
        <f t="shared" si="29"/>
        <v>6689527</v>
      </c>
      <c r="K140" s="177">
        <f t="shared" si="29"/>
        <v>6689527</v>
      </c>
      <c r="L140" s="177">
        <f t="shared" si="29"/>
        <v>0</v>
      </c>
      <c r="M140" s="177">
        <f t="shared" si="29"/>
        <v>0</v>
      </c>
      <c r="N140" s="177">
        <f t="shared" si="29"/>
        <v>0</v>
      </c>
      <c r="O140" s="177">
        <f t="shared" si="29"/>
        <v>6689527</v>
      </c>
      <c r="P140" s="168">
        <f t="shared" si="19"/>
        <v>8299284</v>
      </c>
    </row>
    <row r="141" spans="1:16" ht="123">
      <c r="A141" s="156" t="s">
        <v>295</v>
      </c>
      <c r="B141" s="156" t="s">
        <v>188</v>
      </c>
      <c r="C141" s="156" t="s">
        <v>77</v>
      </c>
      <c r="D141" s="145" t="s">
        <v>189</v>
      </c>
      <c r="E141" s="169">
        <f>F141</f>
        <v>1307359</v>
      </c>
      <c r="F141" s="169">
        <f>1250263+57096</f>
        <v>1307359</v>
      </c>
      <c r="G141" s="169">
        <f>1184502+57096</f>
        <v>1241598</v>
      </c>
      <c r="H141" s="169">
        <v>38432</v>
      </c>
      <c r="I141" s="169"/>
      <c r="J141" s="169">
        <f t="shared" si="20"/>
        <v>0</v>
      </c>
      <c r="K141" s="169"/>
      <c r="L141" s="169"/>
      <c r="M141" s="169"/>
      <c r="N141" s="169"/>
      <c r="O141" s="169">
        <f t="shared" si="21"/>
        <v>0</v>
      </c>
      <c r="P141" s="170">
        <f t="shared" si="19"/>
        <v>1307359</v>
      </c>
    </row>
    <row r="142" spans="1:16" ht="73.5">
      <c r="A142" s="156" t="s">
        <v>531</v>
      </c>
      <c r="B142" s="156" t="s">
        <v>476</v>
      </c>
      <c r="C142" s="156" t="s">
        <v>141</v>
      </c>
      <c r="D142" s="145" t="s">
        <v>477</v>
      </c>
      <c r="E142" s="175"/>
      <c r="F142" s="175"/>
      <c r="G142" s="175"/>
      <c r="H142" s="175"/>
      <c r="I142" s="175"/>
      <c r="J142" s="169">
        <f t="shared" si="20"/>
        <v>22860</v>
      </c>
      <c r="K142" s="175">
        <v>22860</v>
      </c>
      <c r="L142" s="175"/>
      <c r="M142" s="175"/>
      <c r="N142" s="175"/>
      <c r="O142" s="169">
        <f t="shared" si="21"/>
        <v>22860</v>
      </c>
      <c r="P142" s="170">
        <f t="shared" si="19"/>
        <v>22860</v>
      </c>
    </row>
    <row r="143" spans="1:16" ht="123">
      <c r="A143" s="156" t="s">
        <v>530</v>
      </c>
      <c r="B143" s="156" t="s">
        <v>389</v>
      </c>
      <c r="C143" s="156" t="s">
        <v>142</v>
      </c>
      <c r="D143" s="145" t="s">
        <v>390</v>
      </c>
      <c r="E143" s="175"/>
      <c r="F143" s="175"/>
      <c r="G143" s="175"/>
      <c r="H143" s="175"/>
      <c r="I143" s="175"/>
      <c r="J143" s="169">
        <f t="shared" si="20"/>
        <v>6666667</v>
      </c>
      <c r="K143" s="175">
        <f>1945833+4720834</f>
        <v>6666667</v>
      </c>
      <c r="L143" s="175"/>
      <c r="M143" s="175"/>
      <c r="N143" s="175"/>
      <c r="O143" s="169">
        <f t="shared" si="21"/>
        <v>6666667</v>
      </c>
      <c r="P143" s="170">
        <f t="shared" si="19"/>
        <v>6666667</v>
      </c>
    </row>
    <row r="144" spans="1:16" ht="49.5" thickBot="1">
      <c r="A144" s="155" t="s">
        <v>296</v>
      </c>
      <c r="B144" s="155" t="s">
        <v>151</v>
      </c>
      <c r="C144" s="155" t="s">
        <v>142</v>
      </c>
      <c r="D144" s="146" t="s">
        <v>152</v>
      </c>
      <c r="E144" s="172">
        <f>F144</f>
        <v>302398</v>
      </c>
      <c r="F144" s="172">
        <v>302398</v>
      </c>
      <c r="G144" s="172"/>
      <c r="H144" s="172"/>
      <c r="I144" s="172"/>
      <c r="J144" s="172">
        <f t="shared" si="20"/>
        <v>0</v>
      </c>
      <c r="K144" s="172"/>
      <c r="L144" s="172"/>
      <c r="M144" s="172"/>
      <c r="N144" s="172"/>
      <c r="O144" s="172">
        <f t="shared" si="21"/>
        <v>0</v>
      </c>
      <c r="P144" s="171">
        <f t="shared" si="19"/>
        <v>302398</v>
      </c>
    </row>
    <row r="145" spans="1:16" s="21" customFormat="1" ht="96">
      <c r="A145" s="151" t="s">
        <v>297</v>
      </c>
      <c r="B145" s="151"/>
      <c r="C145" s="151"/>
      <c r="D145" s="130" t="s">
        <v>298</v>
      </c>
      <c r="E145" s="173">
        <f>E146</f>
        <v>1236347</v>
      </c>
      <c r="F145" s="173">
        <f aca="true" t="shared" si="30" ref="F145:N146">F146</f>
        <v>1236347</v>
      </c>
      <c r="G145" s="173">
        <f t="shared" si="30"/>
        <v>1158854</v>
      </c>
      <c r="H145" s="173">
        <f t="shared" si="30"/>
        <v>43393</v>
      </c>
      <c r="I145" s="173">
        <f t="shared" si="30"/>
        <v>0</v>
      </c>
      <c r="J145" s="173">
        <f t="shared" si="30"/>
        <v>0</v>
      </c>
      <c r="K145" s="173">
        <f t="shared" si="30"/>
        <v>0</v>
      </c>
      <c r="L145" s="173">
        <f t="shared" si="30"/>
        <v>0</v>
      </c>
      <c r="M145" s="173">
        <f t="shared" si="30"/>
        <v>0</v>
      </c>
      <c r="N145" s="173">
        <f t="shared" si="30"/>
        <v>0</v>
      </c>
      <c r="O145" s="173">
        <f t="shared" si="21"/>
        <v>0</v>
      </c>
      <c r="P145" s="167">
        <f t="shared" si="19"/>
        <v>1236347</v>
      </c>
    </row>
    <row r="146" spans="1:16" s="21" customFormat="1" ht="96">
      <c r="A146" s="151" t="s">
        <v>299</v>
      </c>
      <c r="B146" s="151"/>
      <c r="C146" s="151"/>
      <c r="D146" s="150" t="s">
        <v>298</v>
      </c>
      <c r="E146" s="177">
        <f>E147</f>
        <v>1236347</v>
      </c>
      <c r="F146" s="177">
        <f t="shared" si="30"/>
        <v>1236347</v>
      </c>
      <c r="G146" s="177">
        <f t="shared" si="30"/>
        <v>1158854</v>
      </c>
      <c r="H146" s="177">
        <f t="shared" si="30"/>
        <v>43393</v>
      </c>
      <c r="I146" s="177">
        <f t="shared" si="30"/>
        <v>0</v>
      </c>
      <c r="J146" s="177">
        <f t="shared" si="30"/>
        <v>0</v>
      </c>
      <c r="K146" s="177">
        <f t="shared" si="30"/>
        <v>0</v>
      </c>
      <c r="L146" s="177">
        <f t="shared" si="30"/>
        <v>0</v>
      </c>
      <c r="M146" s="177">
        <f t="shared" si="30"/>
        <v>0</v>
      </c>
      <c r="N146" s="177">
        <f t="shared" si="30"/>
        <v>0</v>
      </c>
      <c r="O146" s="177">
        <f t="shared" si="21"/>
        <v>0</v>
      </c>
      <c r="P146" s="168">
        <f t="shared" si="19"/>
        <v>1236347</v>
      </c>
    </row>
    <row r="147" spans="1:16" ht="123" thickBot="1">
      <c r="A147" s="155" t="s">
        <v>300</v>
      </c>
      <c r="B147" s="155" t="s">
        <v>188</v>
      </c>
      <c r="C147" s="155" t="s">
        <v>77</v>
      </c>
      <c r="D147" s="146" t="s">
        <v>301</v>
      </c>
      <c r="E147" s="172">
        <f>F147</f>
        <v>1236347</v>
      </c>
      <c r="F147" s="172">
        <f>1180715+55632</f>
        <v>1236347</v>
      </c>
      <c r="G147" s="172">
        <f>1103222+55632</f>
        <v>1158854</v>
      </c>
      <c r="H147" s="172">
        <v>43393</v>
      </c>
      <c r="I147" s="172"/>
      <c r="J147" s="172">
        <f t="shared" si="20"/>
        <v>0</v>
      </c>
      <c r="K147" s="172"/>
      <c r="L147" s="172"/>
      <c r="M147" s="172"/>
      <c r="N147" s="172"/>
      <c r="O147" s="172">
        <f t="shared" si="21"/>
        <v>0</v>
      </c>
      <c r="P147" s="171">
        <f t="shared" si="19"/>
        <v>1236347</v>
      </c>
    </row>
    <row r="148" spans="1:16" s="21" customFormat="1" ht="156" customHeight="1">
      <c r="A148" s="151" t="s">
        <v>302</v>
      </c>
      <c r="B148" s="151"/>
      <c r="C148" s="151"/>
      <c r="D148" s="149" t="s">
        <v>303</v>
      </c>
      <c r="E148" s="173">
        <f>E149</f>
        <v>2955222</v>
      </c>
      <c r="F148" s="173">
        <f aca="true" t="shared" si="31" ref="F148:N148">F149</f>
        <v>2955222</v>
      </c>
      <c r="G148" s="173">
        <f t="shared" si="31"/>
        <v>2626380</v>
      </c>
      <c r="H148" s="173">
        <f t="shared" si="31"/>
        <v>95037</v>
      </c>
      <c r="I148" s="173">
        <f t="shared" si="31"/>
        <v>0</v>
      </c>
      <c r="J148" s="173">
        <f t="shared" si="31"/>
        <v>39000</v>
      </c>
      <c r="K148" s="173">
        <f t="shared" si="31"/>
        <v>39000</v>
      </c>
      <c r="L148" s="173">
        <f t="shared" si="31"/>
        <v>0</v>
      </c>
      <c r="M148" s="173">
        <f t="shared" si="31"/>
        <v>0</v>
      </c>
      <c r="N148" s="173">
        <f t="shared" si="31"/>
        <v>0</v>
      </c>
      <c r="O148" s="173">
        <f t="shared" si="21"/>
        <v>39000</v>
      </c>
      <c r="P148" s="167">
        <f t="shared" si="19"/>
        <v>2994222</v>
      </c>
    </row>
    <row r="149" spans="1:16" s="21" customFormat="1" ht="159" customHeight="1">
      <c r="A149" s="151" t="s">
        <v>304</v>
      </c>
      <c r="B149" s="151"/>
      <c r="C149" s="151"/>
      <c r="D149" s="149" t="s">
        <v>303</v>
      </c>
      <c r="E149" s="177">
        <f>SUM(E150:E152)</f>
        <v>2955222</v>
      </c>
      <c r="F149" s="177">
        <f aca="true" t="shared" si="32" ref="F149:N149">SUM(F150:F152)</f>
        <v>2955222</v>
      </c>
      <c r="G149" s="177">
        <f t="shared" si="32"/>
        <v>2626380</v>
      </c>
      <c r="H149" s="177">
        <f t="shared" si="32"/>
        <v>95037</v>
      </c>
      <c r="I149" s="177">
        <f t="shared" si="32"/>
        <v>0</v>
      </c>
      <c r="J149" s="177">
        <f t="shared" si="32"/>
        <v>39000</v>
      </c>
      <c r="K149" s="177">
        <f t="shared" si="32"/>
        <v>39000</v>
      </c>
      <c r="L149" s="177">
        <f t="shared" si="32"/>
        <v>0</v>
      </c>
      <c r="M149" s="177">
        <f t="shared" si="32"/>
        <v>0</v>
      </c>
      <c r="N149" s="177">
        <f t="shared" si="32"/>
        <v>0</v>
      </c>
      <c r="O149" s="177">
        <f t="shared" si="21"/>
        <v>39000</v>
      </c>
      <c r="P149" s="168">
        <f t="shared" si="19"/>
        <v>2994222</v>
      </c>
    </row>
    <row r="150" spans="1:16" ht="123">
      <c r="A150" s="153" t="s">
        <v>305</v>
      </c>
      <c r="B150" s="153" t="s">
        <v>188</v>
      </c>
      <c r="C150" s="153" t="s">
        <v>77</v>
      </c>
      <c r="D150" s="133" t="s">
        <v>189</v>
      </c>
      <c r="E150" s="169">
        <f>F150</f>
        <v>2369710</v>
      </c>
      <c r="F150" s="169">
        <f>2272854+96856</f>
        <v>2369710</v>
      </c>
      <c r="G150" s="169">
        <f>2178886+96856</f>
        <v>2275742</v>
      </c>
      <c r="H150" s="169">
        <v>60163</v>
      </c>
      <c r="I150" s="169"/>
      <c r="J150" s="169">
        <f t="shared" si="20"/>
        <v>0</v>
      </c>
      <c r="K150" s="169"/>
      <c r="L150" s="169"/>
      <c r="M150" s="169"/>
      <c r="N150" s="169"/>
      <c r="O150" s="169">
        <f t="shared" si="21"/>
        <v>0</v>
      </c>
      <c r="P150" s="170">
        <f t="shared" si="19"/>
        <v>2369710</v>
      </c>
    </row>
    <row r="151" spans="1:16" ht="48.75">
      <c r="A151" s="156" t="s">
        <v>306</v>
      </c>
      <c r="B151" s="156" t="s">
        <v>151</v>
      </c>
      <c r="C151" s="156" t="s">
        <v>142</v>
      </c>
      <c r="D151" s="145" t="s">
        <v>307</v>
      </c>
      <c r="E151" s="169">
        <f>F151</f>
        <v>385512</v>
      </c>
      <c r="F151" s="169">
        <v>385512</v>
      </c>
      <c r="G151" s="169">
        <v>350638</v>
      </c>
      <c r="H151" s="169">
        <v>34874</v>
      </c>
      <c r="I151" s="169"/>
      <c r="J151" s="169">
        <f t="shared" si="20"/>
        <v>39000</v>
      </c>
      <c r="K151" s="169">
        <f>39000</f>
        <v>39000</v>
      </c>
      <c r="L151" s="169"/>
      <c r="M151" s="169"/>
      <c r="N151" s="169"/>
      <c r="O151" s="169">
        <f t="shared" si="21"/>
        <v>39000</v>
      </c>
      <c r="P151" s="170">
        <f t="shared" si="19"/>
        <v>424512</v>
      </c>
    </row>
    <row r="152" spans="1:16" ht="49.5" thickBot="1">
      <c r="A152" s="155" t="s">
        <v>308</v>
      </c>
      <c r="B152" s="155" t="s">
        <v>309</v>
      </c>
      <c r="C152" s="155" t="s">
        <v>155</v>
      </c>
      <c r="D152" s="146" t="s">
        <v>310</v>
      </c>
      <c r="E152" s="172">
        <v>200000</v>
      </c>
      <c r="F152" s="172">
        <v>200000</v>
      </c>
      <c r="G152" s="172"/>
      <c r="H152" s="172"/>
      <c r="I152" s="172"/>
      <c r="J152" s="172">
        <f t="shared" si="20"/>
        <v>0</v>
      </c>
      <c r="K152" s="172"/>
      <c r="L152" s="172"/>
      <c r="M152" s="172"/>
      <c r="N152" s="172"/>
      <c r="O152" s="172">
        <f t="shared" si="21"/>
        <v>0</v>
      </c>
      <c r="P152" s="171">
        <f t="shared" si="19"/>
        <v>200000</v>
      </c>
    </row>
    <row r="153" spans="1:16" s="21" customFormat="1" ht="139.5" customHeight="1">
      <c r="A153" s="151" t="s">
        <v>311</v>
      </c>
      <c r="B153" s="151"/>
      <c r="C153" s="151"/>
      <c r="D153" s="130" t="s">
        <v>312</v>
      </c>
      <c r="E153" s="173">
        <f>E154</f>
        <v>11806221</v>
      </c>
      <c r="F153" s="173">
        <f aca="true" t="shared" si="33" ref="F153:N153">F154</f>
        <v>11806221</v>
      </c>
      <c r="G153" s="173">
        <f t="shared" si="33"/>
        <v>6213086</v>
      </c>
      <c r="H153" s="173">
        <f t="shared" si="33"/>
        <v>871929</v>
      </c>
      <c r="I153" s="173">
        <f t="shared" si="33"/>
        <v>0</v>
      </c>
      <c r="J153" s="173">
        <f t="shared" si="33"/>
        <v>4796101</v>
      </c>
      <c r="K153" s="173">
        <f t="shared" si="33"/>
        <v>4708828</v>
      </c>
      <c r="L153" s="173">
        <f t="shared" si="33"/>
        <v>87273</v>
      </c>
      <c r="M153" s="173">
        <f t="shared" si="33"/>
        <v>0</v>
      </c>
      <c r="N153" s="173">
        <f t="shared" si="33"/>
        <v>0</v>
      </c>
      <c r="O153" s="173">
        <f t="shared" si="21"/>
        <v>4708828</v>
      </c>
      <c r="P153" s="167">
        <f t="shared" si="19"/>
        <v>16602322</v>
      </c>
    </row>
    <row r="154" spans="1:16" s="21" customFormat="1" ht="154.5" customHeight="1">
      <c r="A154" s="152" t="s">
        <v>313</v>
      </c>
      <c r="B154" s="152"/>
      <c r="C154" s="152"/>
      <c r="D154" s="130" t="s">
        <v>312</v>
      </c>
      <c r="E154" s="177">
        <f>SUM(E155:E166)</f>
        <v>11806221</v>
      </c>
      <c r="F154" s="177">
        <f aca="true" t="shared" si="34" ref="F154:N154">SUM(F155:F166)</f>
        <v>11806221</v>
      </c>
      <c r="G154" s="177">
        <f t="shared" si="34"/>
        <v>6213086</v>
      </c>
      <c r="H154" s="177">
        <f t="shared" si="34"/>
        <v>871929</v>
      </c>
      <c r="I154" s="177">
        <f t="shared" si="34"/>
        <v>0</v>
      </c>
      <c r="J154" s="177">
        <f t="shared" si="34"/>
        <v>4796101</v>
      </c>
      <c r="K154" s="177">
        <f t="shared" si="34"/>
        <v>4708828</v>
      </c>
      <c r="L154" s="177">
        <f t="shared" si="34"/>
        <v>87273</v>
      </c>
      <c r="M154" s="177">
        <f t="shared" si="34"/>
        <v>0</v>
      </c>
      <c r="N154" s="177">
        <f t="shared" si="34"/>
        <v>0</v>
      </c>
      <c r="O154" s="177">
        <f t="shared" si="21"/>
        <v>4708828</v>
      </c>
      <c r="P154" s="168">
        <f t="shared" si="19"/>
        <v>16602322</v>
      </c>
    </row>
    <row r="155" spans="1:16" ht="123">
      <c r="A155" s="153" t="s">
        <v>314</v>
      </c>
      <c r="B155" s="153" t="s">
        <v>188</v>
      </c>
      <c r="C155" s="153" t="s">
        <v>77</v>
      </c>
      <c r="D155" s="133" t="s">
        <v>189</v>
      </c>
      <c r="E155" s="169">
        <f>F155</f>
        <v>6826541</v>
      </c>
      <c r="F155" s="169">
        <f>5050013+8519-16922+225310+1559621</f>
        <v>6826541</v>
      </c>
      <c r="G155" s="169">
        <f>4582418+225310+1380720</f>
        <v>6188448</v>
      </c>
      <c r="H155" s="169">
        <f>168488-16922+79937</f>
        <v>231503</v>
      </c>
      <c r="I155" s="169"/>
      <c r="J155" s="169">
        <f t="shared" si="20"/>
        <v>87273</v>
      </c>
      <c r="K155" s="169"/>
      <c r="L155" s="169">
        <f>66273+21000</f>
        <v>87273</v>
      </c>
      <c r="M155" s="169"/>
      <c r="N155" s="169"/>
      <c r="O155" s="169">
        <f t="shared" si="21"/>
        <v>0</v>
      </c>
      <c r="P155" s="170">
        <f t="shared" si="19"/>
        <v>6913814</v>
      </c>
    </row>
    <row r="156" spans="1:16" ht="48.75">
      <c r="A156" s="153" t="s">
        <v>532</v>
      </c>
      <c r="B156" s="153" t="s">
        <v>505</v>
      </c>
      <c r="C156" s="153" t="s">
        <v>506</v>
      </c>
      <c r="D156" s="138" t="s">
        <v>507</v>
      </c>
      <c r="E156" s="169">
        <f>F156</f>
        <v>24638</v>
      </c>
      <c r="F156" s="169">
        <v>24638</v>
      </c>
      <c r="G156" s="169">
        <v>24638</v>
      </c>
      <c r="H156" s="169"/>
      <c r="I156" s="169"/>
      <c r="J156" s="169"/>
      <c r="K156" s="169"/>
      <c r="L156" s="169"/>
      <c r="M156" s="169"/>
      <c r="N156" s="169"/>
      <c r="O156" s="169"/>
      <c r="P156" s="170">
        <f t="shared" si="19"/>
        <v>24638</v>
      </c>
    </row>
    <row r="157" spans="1:16" ht="48.75">
      <c r="A157" s="153" t="s">
        <v>381</v>
      </c>
      <c r="B157" s="153" t="s">
        <v>122</v>
      </c>
      <c r="C157" s="153" t="s">
        <v>119</v>
      </c>
      <c r="D157" s="133" t="s">
        <v>123</v>
      </c>
      <c r="E157" s="169">
        <f>F157</f>
        <v>44480</v>
      </c>
      <c r="F157" s="169">
        <v>44480</v>
      </c>
      <c r="G157" s="169"/>
      <c r="H157" s="169"/>
      <c r="I157" s="169"/>
      <c r="J157" s="169">
        <f t="shared" si="20"/>
        <v>0</v>
      </c>
      <c r="K157" s="169"/>
      <c r="L157" s="169"/>
      <c r="M157" s="169"/>
      <c r="N157" s="169"/>
      <c r="O157" s="169">
        <f t="shared" si="21"/>
        <v>0</v>
      </c>
      <c r="P157" s="170">
        <f t="shared" si="19"/>
        <v>44480</v>
      </c>
    </row>
    <row r="158" spans="1:16" ht="98.25">
      <c r="A158" s="153" t="s">
        <v>315</v>
      </c>
      <c r="B158" s="153" t="s">
        <v>125</v>
      </c>
      <c r="C158" s="153" t="s">
        <v>119</v>
      </c>
      <c r="D158" s="133" t="s">
        <v>126</v>
      </c>
      <c r="E158" s="169">
        <f aca="true" t="shared" si="35" ref="E158:E166">F158</f>
        <v>55000</v>
      </c>
      <c r="F158" s="169">
        <v>55000</v>
      </c>
      <c r="G158" s="169"/>
      <c r="H158" s="169"/>
      <c r="I158" s="169"/>
      <c r="J158" s="169">
        <f t="shared" si="20"/>
        <v>0</v>
      </c>
      <c r="K158" s="169"/>
      <c r="L158" s="169"/>
      <c r="M158" s="169"/>
      <c r="N158" s="169"/>
      <c r="O158" s="169">
        <f t="shared" si="21"/>
        <v>0</v>
      </c>
      <c r="P158" s="170">
        <f t="shared" si="19"/>
        <v>55000</v>
      </c>
    </row>
    <row r="159" spans="1:16" ht="48.75">
      <c r="A159" s="153" t="s">
        <v>316</v>
      </c>
      <c r="B159" s="153" t="s">
        <v>131</v>
      </c>
      <c r="C159" s="153" t="s">
        <v>119</v>
      </c>
      <c r="D159" s="133" t="s">
        <v>132</v>
      </c>
      <c r="E159" s="169">
        <f t="shared" si="35"/>
        <v>2695529</v>
      </c>
      <c r="F159" s="169">
        <f>2039358+511184+144987</f>
        <v>2695529</v>
      </c>
      <c r="G159" s="169"/>
      <c r="H159" s="169">
        <f>587926+50526</f>
        <v>638452</v>
      </c>
      <c r="I159" s="169"/>
      <c r="J159" s="169">
        <f t="shared" si="20"/>
        <v>308111</v>
      </c>
      <c r="K159" s="169">
        <f>199980+108131</f>
        <v>308111</v>
      </c>
      <c r="L159" s="169"/>
      <c r="M159" s="169"/>
      <c r="N159" s="169"/>
      <c r="O159" s="169">
        <f t="shared" si="21"/>
        <v>308111</v>
      </c>
      <c r="P159" s="170">
        <f t="shared" si="19"/>
        <v>3003640</v>
      </c>
    </row>
    <row r="160" spans="1:16" ht="48.75">
      <c r="A160" s="153" t="s">
        <v>379</v>
      </c>
      <c r="B160" s="153" t="s">
        <v>380</v>
      </c>
      <c r="C160" s="153" t="s">
        <v>119</v>
      </c>
      <c r="D160" s="133" t="s">
        <v>384</v>
      </c>
      <c r="E160" s="169">
        <f t="shared" si="35"/>
        <v>199000</v>
      </c>
      <c r="F160" s="169">
        <v>199000</v>
      </c>
      <c r="G160" s="169"/>
      <c r="H160" s="169"/>
      <c r="I160" s="169"/>
      <c r="J160" s="169">
        <f t="shared" si="20"/>
        <v>0</v>
      </c>
      <c r="K160" s="169"/>
      <c r="L160" s="169"/>
      <c r="M160" s="169"/>
      <c r="N160" s="169"/>
      <c r="O160" s="169">
        <f t="shared" si="21"/>
        <v>0</v>
      </c>
      <c r="P160" s="170">
        <f t="shared" si="19"/>
        <v>199000</v>
      </c>
    </row>
    <row r="161" spans="1:16" ht="48.75">
      <c r="A161" s="153" t="s">
        <v>317</v>
      </c>
      <c r="B161" s="153" t="s">
        <v>138</v>
      </c>
      <c r="C161" s="153" t="s">
        <v>139</v>
      </c>
      <c r="D161" s="133" t="s">
        <v>140</v>
      </c>
      <c r="E161" s="169">
        <f t="shared" si="35"/>
        <v>122576</v>
      </c>
      <c r="F161" s="169">
        <v>122576</v>
      </c>
      <c r="G161" s="169"/>
      <c r="H161" s="169"/>
      <c r="I161" s="169"/>
      <c r="J161" s="169">
        <f t="shared" si="20"/>
        <v>0</v>
      </c>
      <c r="K161" s="169"/>
      <c r="L161" s="169"/>
      <c r="M161" s="169"/>
      <c r="N161" s="169"/>
      <c r="O161" s="169">
        <f t="shared" si="21"/>
        <v>0</v>
      </c>
      <c r="P161" s="170">
        <f t="shared" si="19"/>
        <v>122576</v>
      </c>
    </row>
    <row r="162" spans="1:16" ht="73.5">
      <c r="A162" s="153" t="s">
        <v>376</v>
      </c>
      <c r="B162" s="153" t="s">
        <v>377</v>
      </c>
      <c r="C162" s="153" t="s">
        <v>141</v>
      </c>
      <c r="D162" s="133" t="s">
        <v>378</v>
      </c>
      <c r="E162" s="169">
        <f t="shared" si="35"/>
        <v>0</v>
      </c>
      <c r="F162" s="169"/>
      <c r="G162" s="169"/>
      <c r="H162" s="169"/>
      <c r="I162" s="169"/>
      <c r="J162" s="169">
        <f t="shared" si="20"/>
        <v>575278</v>
      </c>
      <c r="K162" s="169">
        <v>575278</v>
      </c>
      <c r="L162" s="169"/>
      <c r="M162" s="169"/>
      <c r="N162" s="169"/>
      <c r="O162" s="169">
        <f t="shared" si="21"/>
        <v>575278</v>
      </c>
      <c r="P162" s="170">
        <f t="shared" si="19"/>
        <v>575278</v>
      </c>
    </row>
    <row r="163" spans="1:16" ht="48.75">
      <c r="A163" s="153" t="s">
        <v>318</v>
      </c>
      <c r="B163" s="153" t="s">
        <v>319</v>
      </c>
      <c r="C163" s="153" t="s">
        <v>141</v>
      </c>
      <c r="D163" s="133" t="s">
        <v>320</v>
      </c>
      <c r="E163" s="169">
        <f t="shared" si="35"/>
        <v>0</v>
      </c>
      <c r="F163" s="169"/>
      <c r="G163" s="169"/>
      <c r="H163" s="169"/>
      <c r="I163" s="169"/>
      <c r="J163" s="169">
        <f t="shared" si="20"/>
        <v>2542137</v>
      </c>
      <c r="K163" s="169">
        <f>667868+424269+1450000</f>
        <v>2542137</v>
      </c>
      <c r="L163" s="169"/>
      <c r="M163" s="169"/>
      <c r="N163" s="169"/>
      <c r="O163" s="169">
        <f t="shared" si="21"/>
        <v>2542137</v>
      </c>
      <c r="P163" s="170">
        <f t="shared" si="19"/>
        <v>2542137</v>
      </c>
    </row>
    <row r="164" spans="1:16" ht="98.25">
      <c r="A164" s="153" t="s">
        <v>321</v>
      </c>
      <c r="B164" s="153" t="s">
        <v>322</v>
      </c>
      <c r="C164" s="153" t="s">
        <v>141</v>
      </c>
      <c r="D164" s="133" t="s">
        <v>323</v>
      </c>
      <c r="E164" s="169">
        <f t="shared" si="35"/>
        <v>0</v>
      </c>
      <c r="F164" s="169"/>
      <c r="G164" s="169"/>
      <c r="H164" s="169"/>
      <c r="I164" s="169"/>
      <c r="J164" s="169">
        <f t="shared" si="20"/>
        <v>93500</v>
      </c>
      <c r="K164" s="169">
        <v>93500</v>
      </c>
      <c r="L164" s="169"/>
      <c r="M164" s="169"/>
      <c r="N164" s="169"/>
      <c r="O164" s="169">
        <f t="shared" si="21"/>
        <v>93500</v>
      </c>
      <c r="P164" s="170">
        <f t="shared" si="19"/>
        <v>93500</v>
      </c>
    </row>
    <row r="165" spans="1:16" ht="123">
      <c r="A165" s="153" t="s">
        <v>324</v>
      </c>
      <c r="B165" s="153" t="s">
        <v>144</v>
      </c>
      <c r="C165" s="153" t="s">
        <v>145</v>
      </c>
      <c r="D165" s="133" t="s">
        <v>146</v>
      </c>
      <c r="E165" s="169">
        <f t="shared" si="35"/>
        <v>1834483</v>
      </c>
      <c r="F165" s="169">
        <f>1609406+225077</f>
        <v>1834483</v>
      </c>
      <c r="G165" s="169"/>
      <c r="H165" s="169"/>
      <c r="I165" s="169"/>
      <c r="J165" s="169">
        <f t="shared" si="20"/>
        <v>1189802</v>
      </c>
      <c r="K165" s="169">
        <f>1189802</f>
        <v>1189802</v>
      </c>
      <c r="L165" s="169"/>
      <c r="M165" s="169"/>
      <c r="N165" s="169"/>
      <c r="O165" s="169">
        <f t="shared" si="21"/>
        <v>1189802</v>
      </c>
      <c r="P165" s="170">
        <f t="shared" si="19"/>
        <v>3024285</v>
      </c>
    </row>
    <row r="166" spans="1:16" ht="49.5" thickBot="1">
      <c r="A166" s="155" t="s">
        <v>325</v>
      </c>
      <c r="B166" s="155" t="s">
        <v>151</v>
      </c>
      <c r="C166" s="155" t="s">
        <v>142</v>
      </c>
      <c r="D166" s="146" t="s">
        <v>152</v>
      </c>
      <c r="E166" s="172">
        <f t="shared" si="35"/>
        <v>3974</v>
      </c>
      <c r="F166" s="172">
        <v>3974</v>
      </c>
      <c r="G166" s="172"/>
      <c r="H166" s="172">
        <v>1974</v>
      </c>
      <c r="I166" s="172"/>
      <c r="J166" s="172">
        <f t="shared" si="20"/>
        <v>0</v>
      </c>
      <c r="K166" s="172"/>
      <c r="L166" s="172"/>
      <c r="M166" s="172"/>
      <c r="N166" s="172"/>
      <c r="O166" s="172">
        <f t="shared" si="21"/>
        <v>0</v>
      </c>
      <c r="P166" s="171">
        <f t="shared" si="19"/>
        <v>3974</v>
      </c>
    </row>
    <row r="167" spans="1:16" s="21" customFormat="1" ht="72">
      <c r="A167" s="151" t="s">
        <v>326</v>
      </c>
      <c r="B167" s="151"/>
      <c r="C167" s="151"/>
      <c r="D167" s="149" t="s">
        <v>327</v>
      </c>
      <c r="E167" s="173">
        <f>E168</f>
        <v>1838089</v>
      </c>
      <c r="F167" s="173">
        <f aca="true" t="shared" si="36" ref="F167:N168">F168</f>
        <v>1838089</v>
      </c>
      <c r="G167" s="173">
        <f t="shared" si="36"/>
        <v>1682351</v>
      </c>
      <c r="H167" s="173">
        <f t="shared" si="36"/>
        <v>68238</v>
      </c>
      <c r="I167" s="173">
        <f t="shared" si="36"/>
        <v>0</v>
      </c>
      <c r="J167" s="173">
        <f t="shared" si="36"/>
        <v>0</v>
      </c>
      <c r="K167" s="173">
        <f t="shared" si="36"/>
        <v>0</v>
      </c>
      <c r="L167" s="173">
        <f t="shared" si="36"/>
        <v>0</v>
      </c>
      <c r="M167" s="173">
        <f t="shared" si="36"/>
        <v>0</v>
      </c>
      <c r="N167" s="173">
        <f t="shared" si="36"/>
        <v>0</v>
      </c>
      <c r="O167" s="173">
        <f t="shared" si="21"/>
        <v>0</v>
      </c>
      <c r="P167" s="167">
        <f t="shared" si="19"/>
        <v>1838089</v>
      </c>
    </row>
    <row r="168" spans="1:16" s="21" customFormat="1" ht="72">
      <c r="A168" s="151" t="s">
        <v>328</v>
      </c>
      <c r="B168" s="151"/>
      <c r="C168" s="151"/>
      <c r="D168" s="149" t="s">
        <v>327</v>
      </c>
      <c r="E168" s="177">
        <f>E169</f>
        <v>1838089</v>
      </c>
      <c r="F168" s="177">
        <f t="shared" si="36"/>
        <v>1838089</v>
      </c>
      <c r="G168" s="177">
        <f t="shared" si="36"/>
        <v>1682351</v>
      </c>
      <c r="H168" s="177">
        <f t="shared" si="36"/>
        <v>68238</v>
      </c>
      <c r="I168" s="177">
        <f t="shared" si="36"/>
        <v>0</v>
      </c>
      <c r="J168" s="177">
        <f t="shared" si="36"/>
        <v>0</v>
      </c>
      <c r="K168" s="177">
        <f t="shared" si="36"/>
        <v>0</v>
      </c>
      <c r="L168" s="177">
        <f t="shared" si="36"/>
        <v>0</v>
      </c>
      <c r="M168" s="177">
        <f t="shared" si="36"/>
        <v>0</v>
      </c>
      <c r="N168" s="177">
        <f t="shared" si="36"/>
        <v>0</v>
      </c>
      <c r="O168" s="177">
        <f t="shared" si="21"/>
        <v>0</v>
      </c>
      <c r="P168" s="168">
        <f t="shared" si="19"/>
        <v>1838089</v>
      </c>
    </row>
    <row r="169" spans="1:16" ht="123" thickBot="1">
      <c r="A169" s="155" t="s">
        <v>329</v>
      </c>
      <c r="B169" s="155" t="s">
        <v>188</v>
      </c>
      <c r="C169" s="155" t="s">
        <v>77</v>
      </c>
      <c r="D169" s="146" t="s">
        <v>189</v>
      </c>
      <c r="E169" s="172">
        <f>F169</f>
        <v>1838089</v>
      </c>
      <c r="F169" s="172">
        <f>1760259+77830</f>
        <v>1838089</v>
      </c>
      <c r="G169" s="172">
        <f>1604521+77830</f>
        <v>1682351</v>
      </c>
      <c r="H169" s="172">
        <v>68238</v>
      </c>
      <c r="I169" s="172"/>
      <c r="J169" s="172">
        <f t="shared" si="20"/>
        <v>0</v>
      </c>
      <c r="K169" s="172"/>
      <c r="L169" s="172"/>
      <c r="M169" s="172"/>
      <c r="N169" s="172"/>
      <c r="O169" s="172">
        <f t="shared" si="21"/>
        <v>0</v>
      </c>
      <c r="P169" s="171">
        <f t="shared" si="19"/>
        <v>1838089</v>
      </c>
    </row>
    <row r="170" spans="1:16" s="21" customFormat="1" ht="72">
      <c r="A170" s="151" t="s">
        <v>330</v>
      </c>
      <c r="B170" s="151"/>
      <c r="C170" s="151"/>
      <c r="D170" s="149" t="s">
        <v>331</v>
      </c>
      <c r="E170" s="173">
        <f aca="true" t="shared" si="37" ref="E170:N170">E171</f>
        <v>5236819</v>
      </c>
      <c r="F170" s="173">
        <f t="shared" si="37"/>
        <v>4331819</v>
      </c>
      <c r="G170" s="173">
        <f t="shared" si="37"/>
        <v>3124416</v>
      </c>
      <c r="H170" s="173">
        <f t="shared" si="37"/>
        <v>94184</v>
      </c>
      <c r="I170" s="173">
        <f t="shared" si="37"/>
        <v>405000</v>
      </c>
      <c r="J170" s="173">
        <f t="shared" si="37"/>
        <v>0</v>
      </c>
      <c r="K170" s="173">
        <f t="shared" si="37"/>
        <v>0</v>
      </c>
      <c r="L170" s="173">
        <f t="shared" si="37"/>
        <v>0</v>
      </c>
      <c r="M170" s="173">
        <f t="shared" si="37"/>
        <v>0</v>
      </c>
      <c r="N170" s="173">
        <f t="shared" si="37"/>
        <v>0</v>
      </c>
      <c r="O170" s="173">
        <f t="shared" si="21"/>
        <v>0</v>
      </c>
      <c r="P170" s="167">
        <f t="shared" si="19"/>
        <v>5236819</v>
      </c>
    </row>
    <row r="171" spans="1:16" s="21" customFormat="1" ht="72">
      <c r="A171" s="151" t="s">
        <v>332</v>
      </c>
      <c r="B171" s="151"/>
      <c r="C171" s="151"/>
      <c r="D171" s="149" t="s">
        <v>331</v>
      </c>
      <c r="E171" s="177">
        <f>E172+E173+E174+E177</f>
        <v>5236819</v>
      </c>
      <c r="F171" s="177">
        <f>F172+F173+F174+F177</f>
        <v>4331819</v>
      </c>
      <c r="G171" s="177">
        <f>G172+G173+G174+G177</f>
        <v>3124416</v>
      </c>
      <c r="H171" s="177">
        <f>H172+H173+H174+H177</f>
        <v>94184</v>
      </c>
      <c r="I171" s="177">
        <f>I172+I173+I174+I177</f>
        <v>405000</v>
      </c>
      <c r="J171" s="177">
        <f>J172+J173</f>
        <v>0</v>
      </c>
      <c r="K171" s="177">
        <f>K172+K173</f>
        <v>0</v>
      </c>
      <c r="L171" s="177">
        <f>L172+L173</f>
        <v>0</v>
      </c>
      <c r="M171" s="177">
        <f>M172+M173</f>
        <v>0</v>
      </c>
      <c r="N171" s="177">
        <f>N172+N173</f>
        <v>0</v>
      </c>
      <c r="O171" s="177">
        <f t="shared" si="21"/>
        <v>0</v>
      </c>
      <c r="P171" s="168">
        <f t="shared" si="19"/>
        <v>5236819</v>
      </c>
    </row>
    <row r="172" spans="1:16" ht="123">
      <c r="A172" s="156" t="s">
        <v>333</v>
      </c>
      <c r="B172" s="156" t="s">
        <v>188</v>
      </c>
      <c r="C172" s="156" t="s">
        <v>77</v>
      </c>
      <c r="D172" s="145" t="s">
        <v>189</v>
      </c>
      <c r="E172" s="169">
        <f>F172</f>
        <v>3356621</v>
      </c>
      <c r="F172" s="169">
        <f>3159793+50000+137207+476620-46999-100000-50000-270000</f>
        <v>3356621</v>
      </c>
      <c r="G172" s="169">
        <f>50000+2937209+137207</f>
        <v>3124416</v>
      </c>
      <c r="H172" s="169">
        <v>94184</v>
      </c>
      <c r="I172" s="169"/>
      <c r="J172" s="169">
        <f t="shared" si="20"/>
        <v>0</v>
      </c>
      <c r="K172" s="169"/>
      <c r="L172" s="169"/>
      <c r="M172" s="169"/>
      <c r="N172" s="169"/>
      <c r="O172" s="169">
        <f t="shared" si="21"/>
        <v>0</v>
      </c>
      <c r="P172" s="170">
        <f t="shared" si="19"/>
        <v>3356621</v>
      </c>
    </row>
    <row r="173" spans="1:16" ht="24">
      <c r="A173" s="153" t="s">
        <v>334</v>
      </c>
      <c r="B173" s="153" t="s">
        <v>335</v>
      </c>
      <c r="C173" s="153" t="s">
        <v>84</v>
      </c>
      <c r="D173" s="133" t="s">
        <v>336</v>
      </c>
      <c r="E173" s="169">
        <v>500000</v>
      </c>
      <c r="F173" s="169"/>
      <c r="G173" s="169"/>
      <c r="H173" s="169"/>
      <c r="I173" s="169"/>
      <c r="J173" s="169">
        <f t="shared" si="20"/>
        <v>0</v>
      </c>
      <c r="K173" s="169"/>
      <c r="L173" s="169"/>
      <c r="M173" s="169"/>
      <c r="N173" s="169"/>
      <c r="O173" s="169">
        <f t="shared" si="21"/>
        <v>0</v>
      </c>
      <c r="P173" s="170">
        <f t="shared" si="19"/>
        <v>500000</v>
      </c>
    </row>
    <row r="174" spans="1:16" ht="48.75">
      <c r="A174" s="153" t="s">
        <v>491</v>
      </c>
      <c r="B174" s="153" t="s">
        <v>492</v>
      </c>
      <c r="C174" s="153" t="s">
        <v>83</v>
      </c>
      <c r="D174" s="133" t="s">
        <v>429</v>
      </c>
      <c r="E174" s="197">
        <f>E176</f>
        <v>202048</v>
      </c>
      <c r="F174" s="197">
        <f>F176</f>
        <v>202048</v>
      </c>
      <c r="G174" s="198">
        <f>G176</f>
        <v>0</v>
      </c>
      <c r="H174" s="198">
        <f>H176</f>
        <v>0</v>
      </c>
      <c r="I174" s="198">
        <f>I176</f>
        <v>0</v>
      </c>
      <c r="J174" s="169"/>
      <c r="K174" s="169"/>
      <c r="L174" s="169"/>
      <c r="M174" s="169"/>
      <c r="N174" s="169"/>
      <c r="O174" s="169"/>
      <c r="P174" s="170">
        <f t="shared" si="19"/>
        <v>202048</v>
      </c>
    </row>
    <row r="175" spans="1:16" ht="24">
      <c r="A175" s="153"/>
      <c r="B175" s="153"/>
      <c r="C175" s="153"/>
      <c r="D175" s="133" t="s">
        <v>493</v>
      </c>
      <c r="E175" s="198"/>
      <c r="F175" s="198"/>
      <c r="G175" s="198"/>
      <c r="H175" s="198"/>
      <c r="I175" s="198"/>
      <c r="J175" s="169"/>
      <c r="K175" s="169"/>
      <c r="L175" s="169"/>
      <c r="M175" s="169"/>
      <c r="N175" s="169"/>
      <c r="O175" s="169"/>
      <c r="P175" s="170">
        <f aca="true" t="shared" si="38" ref="P175:P186">E175+J175</f>
        <v>0</v>
      </c>
    </row>
    <row r="176" spans="1:16" ht="123">
      <c r="A176" s="153"/>
      <c r="B176" s="153"/>
      <c r="C176" s="153"/>
      <c r="D176" s="133" t="s">
        <v>494</v>
      </c>
      <c r="E176" s="197">
        <f>F176+H176</f>
        <v>202048</v>
      </c>
      <c r="F176" s="197">
        <v>202048</v>
      </c>
      <c r="G176" s="198"/>
      <c r="H176" s="198"/>
      <c r="I176" s="198"/>
      <c r="J176" s="169"/>
      <c r="K176" s="169"/>
      <c r="L176" s="169"/>
      <c r="M176" s="169"/>
      <c r="N176" s="169"/>
      <c r="O176" s="169"/>
      <c r="P176" s="170">
        <f t="shared" si="38"/>
        <v>202048</v>
      </c>
    </row>
    <row r="177" spans="1:16" ht="144">
      <c r="A177" s="152" t="s">
        <v>495</v>
      </c>
      <c r="B177" s="152" t="s">
        <v>496</v>
      </c>
      <c r="C177" s="152" t="s">
        <v>83</v>
      </c>
      <c r="D177" s="131" t="s">
        <v>497</v>
      </c>
      <c r="E177" s="177">
        <f>SUM(E179:E186)</f>
        <v>1178150</v>
      </c>
      <c r="F177" s="177">
        <f>SUM(F179:F186)</f>
        <v>773150</v>
      </c>
      <c r="G177" s="177">
        <f>SUM(G179:G186)</f>
        <v>0</v>
      </c>
      <c r="H177" s="177">
        <f>SUM(H179:H186)</f>
        <v>0</v>
      </c>
      <c r="I177" s="177">
        <f>SUM(I179:I186)</f>
        <v>405000</v>
      </c>
      <c r="J177" s="169"/>
      <c r="K177" s="169"/>
      <c r="L177" s="169"/>
      <c r="M177" s="169"/>
      <c r="N177" s="169"/>
      <c r="O177" s="169"/>
      <c r="P177" s="170">
        <f t="shared" si="38"/>
        <v>1178150</v>
      </c>
    </row>
    <row r="178" spans="1:16" ht="24">
      <c r="A178" s="153"/>
      <c r="B178" s="153"/>
      <c r="C178" s="153"/>
      <c r="D178" s="133" t="s">
        <v>493</v>
      </c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70">
        <f t="shared" si="38"/>
        <v>0</v>
      </c>
    </row>
    <row r="179" spans="1:16" ht="147">
      <c r="A179" s="153"/>
      <c r="B179" s="153"/>
      <c r="C179" s="153"/>
      <c r="D179" s="133" t="s">
        <v>498</v>
      </c>
      <c r="E179" s="169">
        <f aca="true" t="shared" si="39" ref="E179:E185">F179+I179</f>
        <v>300000</v>
      </c>
      <c r="F179" s="169"/>
      <c r="G179" s="169"/>
      <c r="H179" s="169"/>
      <c r="I179" s="169">
        <v>300000</v>
      </c>
      <c r="J179" s="169"/>
      <c r="K179" s="169"/>
      <c r="L179" s="169"/>
      <c r="M179" s="169"/>
      <c r="N179" s="169"/>
      <c r="O179" s="169"/>
      <c r="P179" s="170">
        <f t="shared" si="38"/>
        <v>300000</v>
      </c>
    </row>
    <row r="180" spans="1:16" ht="123">
      <c r="A180" s="153"/>
      <c r="B180" s="153"/>
      <c r="C180" s="153"/>
      <c r="D180" s="132" t="s">
        <v>499</v>
      </c>
      <c r="E180" s="169">
        <f t="shared" si="39"/>
        <v>250000</v>
      </c>
      <c r="F180" s="169">
        <f>120000+20000+50000</f>
        <v>190000</v>
      </c>
      <c r="G180" s="169"/>
      <c r="H180" s="169"/>
      <c r="I180" s="169">
        <v>60000</v>
      </c>
      <c r="J180" s="169"/>
      <c r="K180" s="169"/>
      <c r="L180" s="169"/>
      <c r="M180" s="169"/>
      <c r="N180" s="169"/>
      <c r="O180" s="169"/>
      <c r="P180" s="170">
        <f t="shared" si="38"/>
        <v>250000</v>
      </c>
    </row>
    <row r="181" spans="1:16" ht="294.75">
      <c r="A181" s="153"/>
      <c r="B181" s="153"/>
      <c r="C181" s="153"/>
      <c r="D181" s="132" t="s">
        <v>500</v>
      </c>
      <c r="E181" s="169">
        <f t="shared" si="39"/>
        <v>150000</v>
      </c>
      <c r="F181" s="169">
        <v>150000</v>
      </c>
      <c r="G181" s="169"/>
      <c r="H181" s="169"/>
      <c r="I181" s="169"/>
      <c r="J181" s="169"/>
      <c r="K181" s="169"/>
      <c r="L181" s="169"/>
      <c r="M181" s="169"/>
      <c r="N181" s="169"/>
      <c r="O181" s="169"/>
      <c r="P181" s="170">
        <f t="shared" si="38"/>
        <v>150000</v>
      </c>
    </row>
    <row r="182" spans="1:16" ht="125.25" customHeight="1">
      <c r="A182" s="153"/>
      <c r="B182" s="153"/>
      <c r="C182" s="153"/>
      <c r="D182" s="132" t="s">
        <v>501</v>
      </c>
      <c r="E182" s="169">
        <f t="shared" si="39"/>
        <v>100000</v>
      </c>
      <c r="F182" s="169">
        <v>100000</v>
      </c>
      <c r="G182" s="169"/>
      <c r="H182" s="169"/>
      <c r="I182" s="169"/>
      <c r="J182" s="169"/>
      <c r="K182" s="169"/>
      <c r="L182" s="169"/>
      <c r="M182" s="169"/>
      <c r="N182" s="169"/>
      <c r="O182" s="169"/>
      <c r="P182" s="170">
        <f t="shared" si="38"/>
        <v>100000</v>
      </c>
    </row>
    <row r="183" spans="1:16" ht="175.5" customHeight="1">
      <c r="A183" s="153"/>
      <c r="B183" s="153"/>
      <c r="C183" s="153"/>
      <c r="D183" s="133" t="s">
        <v>502</v>
      </c>
      <c r="E183" s="169">
        <f t="shared" si="39"/>
        <v>69650</v>
      </c>
      <c r="F183" s="169">
        <v>69650</v>
      </c>
      <c r="G183" s="169"/>
      <c r="H183" s="169"/>
      <c r="I183" s="169"/>
      <c r="J183" s="169"/>
      <c r="K183" s="169"/>
      <c r="L183" s="169"/>
      <c r="M183" s="169"/>
      <c r="N183" s="169"/>
      <c r="O183" s="169"/>
      <c r="P183" s="170">
        <f t="shared" si="38"/>
        <v>69650</v>
      </c>
    </row>
    <row r="184" spans="1:16" ht="98.25">
      <c r="A184" s="153"/>
      <c r="B184" s="153"/>
      <c r="C184" s="153"/>
      <c r="D184" s="132" t="s">
        <v>503</v>
      </c>
      <c r="E184" s="169">
        <f t="shared" si="39"/>
        <v>48500</v>
      </c>
      <c r="F184" s="169">
        <v>48500</v>
      </c>
      <c r="G184" s="169"/>
      <c r="H184" s="169"/>
      <c r="I184" s="169"/>
      <c r="J184" s="169"/>
      <c r="K184" s="169"/>
      <c r="L184" s="169"/>
      <c r="M184" s="169"/>
      <c r="N184" s="169"/>
      <c r="O184" s="169"/>
      <c r="P184" s="170">
        <f t="shared" si="38"/>
        <v>48500</v>
      </c>
    </row>
    <row r="185" spans="1:16" ht="196.5">
      <c r="A185" s="152"/>
      <c r="B185" s="152"/>
      <c r="C185" s="152"/>
      <c r="D185" s="133" t="s">
        <v>568</v>
      </c>
      <c r="E185" s="223">
        <f t="shared" si="39"/>
        <v>60000</v>
      </c>
      <c r="F185" s="223">
        <v>15000</v>
      </c>
      <c r="G185" s="223"/>
      <c r="H185" s="223"/>
      <c r="I185" s="223">
        <f>30000+15000</f>
        <v>45000</v>
      </c>
      <c r="J185" s="169"/>
      <c r="K185" s="169"/>
      <c r="L185" s="169"/>
      <c r="M185" s="169"/>
      <c r="N185" s="169"/>
      <c r="O185" s="169"/>
      <c r="P185" s="170">
        <f t="shared" si="38"/>
        <v>60000</v>
      </c>
    </row>
    <row r="186" spans="1:16" ht="87.75" customHeight="1">
      <c r="A186" s="153"/>
      <c r="B186" s="153"/>
      <c r="C186" s="153"/>
      <c r="D186" s="133" t="s">
        <v>567</v>
      </c>
      <c r="E186" s="223">
        <f>F186</f>
        <v>200000</v>
      </c>
      <c r="F186" s="223">
        <v>200000</v>
      </c>
      <c r="G186" s="223"/>
      <c r="H186" s="223"/>
      <c r="I186" s="223"/>
      <c r="J186" s="169"/>
      <c r="K186" s="169"/>
      <c r="L186" s="169"/>
      <c r="M186" s="169"/>
      <c r="N186" s="169"/>
      <c r="O186" s="169"/>
      <c r="P186" s="170">
        <f t="shared" si="38"/>
        <v>200000</v>
      </c>
    </row>
    <row r="187" spans="1:16" ht="24">
      <c r="A187" s="165" t="s">
        <v>56</v>
      </c>
      <c r="B187" s="165" t="s">
        <v>56</v>
      </c>
      <c r="C187" s="165" t="s">
        <v>56</v>
      </c>
      <c r="D187" s="166" t="s">
        <v>54</v>
      </c>
      <c r="E187" s="177">
        <f aca="true" t="shared" si="40" ref="E187:O187">E17+E66+E92+E113+E125+E139+E145+E148+E153+E167+E170</f>
        <v>458334986</v>
      </c>
      <c r="F187" s="177">
        <f t="shared" si="40"/>
        <v>457429986</v>
      </c>
      <c r="G187" s="177">
        <f t="shared" si="40"/>
        <v>296149217</v>
      </c>
      <c r="H187" s="177">
        <f t="shared" si="40"/>
        <v>35807937</v>
      </c>
      <c r="I187" s="177">
        <f t="shared" si="40"/>
        <v>405000</v>
      </c>
      <c r="J187" s="177">
        <f t="shared" si="40"/>
        <v>60313345</v>
      </c>
      <c r="K187" s="177">
        <f t="shared" si="40"/>
        <v>49984376</v>
      </c>
      <c r="L187" s="177">
        <f t="shared" si="40"/>
        <v>10048969</v>
      </c>
      <c r="M187" s="177">
        <f t="shared" si="40"/>
        <v>2306953</v>
      </c>
      <c r="N187" s="177">
        <f t="shared" si="40"/>
        <v>73626</v>
      </c>
      <c r="O187" s="177">
        <f t="shared" si="40"/>
        <v>50264376</v>
      </c>
      <c r="P187" s="168">
        <f>E187+J187</f>
        <v>518648331</v>
      </c>
    </row>
    <row r="188" spans="1:16" ht="24">
      <c r="A188" s="122"/>
      <c r="B188" s="122"/>
      <c r="C188" s="122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5"/>
    </row>
    <row r="189" spans="1:16" ht="24">
      <c r="A189" s="122"/>
      <c r="B189" s="122"/>
      <c r="C189" s="122"/>
      <c r="D189" s="123"/>
      <c r="E189" s="124"/>
      <c r="F189" s="222"/>
      <c r="G189" s="124"/>
      <c r="H189" s="124"/>
      <c r="I189" s="124"/>
      <c r="J189" s="124"/>
      <c r="K189" s="124"/>
      <c r="L189" s="124"/>
      <c r="M189" s="124"/>
      <c r="N189" s="124"/>
      <c r="O189" s="124"/>
      <c r="P189" s="125"/>
    </row>
    <row r="190" spans="4:16" ht="22.5">
      <c r="D190" s="2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1:16" ht="24">
      <c r="A191" s="224" t="s">
        <v>573</v>
      </c>
      <c r="B191" s="224"/>
      <c r="C191" s="224"/>
      <c r="D191" s="225"/>
      <c r="E191" s="224"/>
      <c r="F191" s="225"/>
      <c r="G191" s="225"/>
      <c r="H191" s="225"/>
      <c r="I191" s="225"/>
      <c r="J191" s="224"/>
      <c r="K191" s="224"/>
      <c r="L191" s="224"/>
      <c r="M191" s="225"/>
      <c r="N191" s="224" t="s">
        <v>574</v>
      </c>
      <c r="O191" s="94"/>
      <c r="P191" s="94"/>
    </row>
    <row r="192" spans="3:16" ht="22.5" hidden="1">
      <c r="C192" s="239" t="s">
        <v>32</v>
      </c>
      <c r="D192" s="239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3:16" ht="22.5" hidden="1">
      <c r="C193" s="83" t="s">
        <v>33</v>
      </c>
      <c r="D193" s="20"/>
      <c r="E193" s="91">
        <f aca="true" t="shared" si="41" ref="E193:P193">E19+E23+E68+E94+E115+E127+E141+E147+E150+E155+E169+E172</f>
        <v>55029716</v>
      </c>
      <c r="F193" s="91"/>
      <c r="G193" s="91">
        <f t="shared" si="41"/>
        <v>50204841</v>
      </c>
      <c r="H193" s="91">
        <f t="shared" si="41"/>
        <v>1919901</v>
      </c>
      <c r="I193" s="91">
        <f t="shared" si="41"/>
        <v>0</v>
      </c>
      <c r="J193" s="91">
        <f t="shared" si="41"/>
        <v>344923</v>
      </c>
      <c r="K193" s="91">
        <f t="shared" si="41"/>
        <v>193650</v>
      </c>
      <c r="L193" s="91">
        <f t="shared" si="41"/>
        <v>151273</v>
      </c>
      <c r="M193" s="91">
        <f t="shared" si="41"/>
        <v>18300</v>
      </c>
      <c r="N193" s="91">
        <f t="shared" si="41"/>
        <v>12590</v>
      </c>
      <c r="O193" s="91">
        <f t="shared" si="41"/>
        <v>193650</v>
      </c>
      <c r="P193" s="91">
        <f t="shared" si="41"/>
        <v>55374639</v>
      </c>
    </row>
    <row r="194" spans="3:16" ht="22.5" hidden="1">
      <c r="C194" s="84">
        <v>1000</v>
      </c>
      <c r="D194" s="20"/>
      <c r="E194" s="91">
        <f>E69+E70+E81+E82+E83+E84+E87+E116</f>
        <v>266848296</v>
      </c>
      <c r="F194" s="91"/>
      <c r="G194" s="91">
        <f>G69+G70+G81+G82+G83+G84+G87+G116</f>
        <v>219686233</v>
      </c>
      <c r="H194" s="91">
        <f>H69+H70+H81+H82+H83+H84+H87+H116</f>
        <v>30259221</v>
      </c>
      <c r="I194" s="91">
        <f aca="true" t="shared" si="42" ref="I194:P194">I69+I70+I81+I82+I83+I84+I85+I116</f>
        <v>0</v>
      </c>
      <c r="J194" s="91">
        <f t="shared" si="42"/>
        <v>9200678</v>
      </c>
      <c r="K194" s="91">
        <f t="shared" si="42"/>
        <v>191000</v>
      </c>
      <c r="L194" s="91">
        <f t="shared" si="42"/>
        <v>9009678</v>
      </c>
      <c r="M194" s="91">
        <f t="shared" si="42"/>
        <v>2270353</v>
      </c>
      <c r="N194" s="91">
        <f t="shared" si="42"/>
        <v>41558</v>
      </c>
      <c r="O194" s="91">
        <f t="shared" si="42"/>
        <v>191000</v>
      </c>
      <c r="P194" s="91">
        <f t="shared" si="42"/>
        <v>276931038</v>
      </c>
    </row>
    <row r="195" spans="3:16" ht="22.5" hidden="1">
      <c r="C195" s="84">
        <v>2000</v>
      </c>
      <c r="D195" s="20"/>
      <c r="E195" s="91">
        <f aca="true" t="shared" si="43" ref="E195:P195">E25+E32+E34</f>
        <v>32078531</v>
      </c>
      <c r="F195" s="91"/>
      <c r="G195" s="91">
        <f t="shared" si="43"/>
        <v>0</v>
      </c>
      <c r="H195" s="91">
        <f t="shared" si="43"/>
        <v>0</v>
      </c>
      <c r="I195" s="91">
        <f t="shared" si="43"/>
        <v>0</v>
      </c>
      <c r="J195" s="91">
        <f t="shared" si="43"/>
        <v>5642400</v>
      </c>
      <c r="K195" s="91">
        <f t="shared" si="43"/>
        <v>5642400</v>
      </c>
      <c r="L195" s="91">
        <f t="shared" si="43"/>
        <v>0</v>
      </c>
      <c r="M195" s="91">
        <f t="shared" si="43"/>
        <v>0</v>
      </c>
      <c r="N195" s="91">
        <f t="shared" si="43"/>
        <v>0</v>
      </c>
      <c r="O195" s="91">
        <f t="shared" si="43"/>
        <v>5642400</v>
      </c>
      <c r="P195" s="91">
        <f t="shared" si="43"/>
        <v>37720931</v>
      </c>
    </row>
    <row r="196" spans="3:16" ht="22.5" hidden="1">
      <c r="C196" s="84">
        <v>3000</v>
      </c>
      <c r="D196" s="20"/>
      <c r="E196" s="91">
        <f aca="true" t="shared" si="44" ref="E196:P196">E40+E41+E43+E95+E96+E97+E98+E101+E102+E103+E104+E105+E106+E107+E108+E110+E128+E129</f>
        <v>13652742</v>
      </c>
      <c r="F196" s="91"/>
      <c r="G196" s="91">
        <f t="shared" si="44"/>
        <v>6226537</v>
      </c>
      <c r="H196" s="91">
        <f t="shared" si="44"/>
        <v>467444</v>
      </c>
      <c r="I196" s="91">
        <f t="shared" si="44"/>
        <v>0</v>
      </c>
      <c r="J196" s="91">
        <f t="shared" si="44"/>
        <v>59400</v>
      </c>
      <c r="K196" s="91">
        <f t="shared" si="44"/>
        <v>0</v>
      </c>
      <c r="L196" s="91">
        <f t="shared" si="44"/>
        <v>59400</v>
      </c>
      <c r="M196" s="91">
        <f t="shared" si="44"/>
        <v>0</v>
      </c>
      <c r="N196" s="91">
        <f t="shared" si="44"/>
        <v>6588</v>
      </c>
      <c r="O196" s="91">
        <f t="shared" si="44"/>
        <v>0</v>
      </c>
      <c r="P196" s="91">
        <f t="shared" si="44"/>
        <v>13712142</v>
      </c>
    </row>
    <row r="197" spans="3:16" ht="22.5" hidden="1">
      <c r="C197" s="84">
        <v>4000</v>
      </c>
      <c r="D197" s="20"/>
      <c r="E197" s="91">
        <f aca="true" t="shared" si="45" ref="E197:P197">E117+E118+E119+E120+E121</f>
        <v>17195105</v>
      </c>
      <c r="F197" s="91"/>
      <c r="G197" s="91">
        <f t="shared" si="45"/>
        <v>13286227</v>
      </c>
      <c r="H197" s="91">
        <f t="shared" si="45"/>
        <v>2076541</v>
      </c>
      <c r="I197" s="91">
        <f t="shared" si="45"/>
        <v>0</v>
      </c>
      <c r="J197" s="91">
        <f t="shared" si="45"/>
        <v>1098342</v>
      </c>
      <c r="K197" s="91">
        <f t="shared" si="45"/>
        <v>915682</v>
      </c>
      <c r="L197" s="91">
        <f t="shared" si="45"/>
        <v>182660</v>
      </c>
      <c r="M197" s="91">
        <f t="shared" si="45"/>
        <v>18300</v>
      </c>
      <c r="N197" s="91">
        <f t="shared" si="45"/>
        <v>12890</v>
      </c>
      <c r="O197" s="91">
        <f t="shared" si="45"/>
        <v>915682</v>
      </c>
      <c r="P197" s="91">
        <f t="shared" si="45"/>
        <v>18293447</v>
      </c>
    </row>
    <row r="198" spans="3:16" ht="22.5" hidden="1">
      <c r="C198" s="84">
        <v>5000</v>
      </c>
      <c r="D198" s="20"/>
      <c r="E198" s="91">
        <f aca="true" t="shared" si="46" ref="E198:P198">E89+E131+E132+E133+E134+E135</f>
        <v>11710509</v>
      </c>
      <c r="F198" s="91"/>
      <c r="G198" s="91">
        <f t="shared" si="46"/>
        <v>5462119</v>
      </c>
      <c r="H198" s="91">
        <f t="shared" si="46"/>
        <v>409530</v>
      </c>
      <c r="I198" s="91">
        <f t="shared" si="46"/>
        <v>0</v>
      </c>
      <c r="J198" s="91">
        <f t="shared" si="46"/>
        <v>10000</v>
      </c>
      <c r="K198" s="91">
        <f t="shared" si="46"/>
        <v>10000</v>
      </c>
      <c r="L198" s="91">
        <f t="shared" si="46"/>
        <v>0</v>
      </c>
      <c r="M198" s="91">
        <f t="shared" si="46"/>
        <v>0</v>
      </c>
      <c r="N198" s="91">
        <f t="shared" si="46"/>
        <v>0</v>
      </c>
      <c r="O198" s="91">
        <f t="shared" si="46"/>
        <v>10000</v>
      </c>
      <c r="P198" s="91">
        <f t="shared" si="46"/>
        <v>11720509</v>
      </c>
    </row>
    <row r="199" spans="3:16" ht="22.5" hidden="1">
      <c r="C199" s="84">
        <v>6000</v>
      </c>
      <c r="D199" s="20"/>
      <c r="E199" s="91">
        <f aca="true" t="shared" si="47" ref="E199:P199">E44+E46+E45+E47+E48+E49+E51+E157+E158+E159+E160</f>
        <v>38922419</v>
      </c>
      <c r="F199" s="91"/>
      <c r="G199" s="91">
        <f t="shared" si="47"/>
        <v>0</v>
      </c>
      <c r="H199" s="91">
        <f t="shared" si="47"/>
        <v>638452</v>
      </c>
      <c r="I199" s="91">
        <f t="shared" si="47"/>
        <v>0</v>
      </c>
      <c r="J199" s="91">
        <f t="shared" si="47"/>
        <v>308111</v>
      </c>
      <c r="K199" s="91">
        <f t="shared" si="47"/>
        <v>308111</v>
      </c>
      <c r="L199" s="91">
        <f t="shared" si="47"/>
        <v>0</v>
      </c>
      <c r="M199" s="91">
        <f t="shared" si="47"/>
        <v>0</v>
      </c>
      <c r="N199" s="91">
        <f t="shared" si="47"/>
        <v>0</v>
      </c>
      <c r="O199" s="91">
        <f t="shared" si="47"/>
        <v>308111</v>
      </c>
      <c r="P199" s="91">
        <f t="shared" si="47"/>
        <v>39230530</v>
      </c>
    </row>
    <row r="200" spans="3:16" ht="22.5" hidden="1">
      <c r="C200" s="84">
        <v>7000</v>
      </c>
      <c r="D200" s="20"/>
      <c r="E200" s="91">
        <f aca="true" t="shared" si="48" ref="E200:P200">E52+E56+E58+E59+E60+E61+E91+E112+E124+E138+E151+E161+E162+E163+E164+E165+E166+E144</f>
        <v>13463082</v>
      </c>
      <c r="F200" s="91"/>
      <c r="G200" s="91">
        <f t="shared" si="48"/>
        <v>350638</v>
      </c>
      <c r="H200" s="91">
        <f t="shared" si="48"/>
        <v>36848</v>
      </c>
      <c r="I200" s="91">
        <f t="shared" si="48"/>
        <v>0</v>
      </c>
      <c r="J200" s="91">
        <f t="shared" si="48"/>
        <v>22076478</v>
      </c>
      <c r="K200" s="91">
        <f t="shared" si="48"/>
        <v>22076478</v>
      </c>
      <c r="L200" s="91">
        <f t="shared" si="48"/>
        <v>0</v>
      </c>
      <c r="M200" s="91">
        <f t="shared" si="48"/>
        <v>0</v>
      </c>
      <c r="N200" s="91">
        <f t="shared" si="48"/>
        <v>0</v>
      </c>
      <c r="O200" s="91">
        <f t="shared" si="48"/>
        <v>22076478</v>
      </c>
      <c r="P200" s="91">
        <f t="shared" si="48"/>
        <v>35539560</v>
      </c>
    </row>
    <row r="201" spans="3:16" ht="22.5" hidden="1">
      <c r="C201" s="84">
        <v>8000</v>
      </c>
      <c r="D201" s="20"/>
      <c r="E201" s="91">
        <f aca="true" t="shared" si="49" ref="E201:P201">E62+E63+E64+E65+E152+E173</f>
        <v>5017250</v>
      </c>
      <c r="F201" s="91"/>
      <c r="G201" s="91">
        <f t="shared" si="49"/>
        <v>0</v>
      </c>
      <c r="H201" s="91">
        <f t="shared" si="49"/>
        <v>0</v>
      </c>
      <c r="I201" s="91">
        <f t="shared" si="49"/>
        <v>0</v>
      </c>
      <c r="J201" s="91">
        <f t="shared" si="49"/>
        <v>925958</v>
      </c>
      <c r="K201" s="91">
        <f t="shared" si="49"/>
        <v>0</v>
      </c>
      <c r="L201" s="91">
        <f t="shared" si="49"/>
        <v>645958</v>
      </c>
      <c r="M201" s="91">
        <f t="shared" si="49"/>
        <v>0</v>
      </c>
      <c r="N201" s="91">
        <f t="shared" si="49"/>
        <v>0</v>
      </c>
      <c r="O201" s="91">
        <f t="shared" si="49"/>
        <v>280000</v>
      </c>
      <c r="P201" s="91">
        <f t="shared" si="49"/>
        <v>5943208</v>
      </c>
    </row>
    <row r="202" spans="3:16" ht="21" hidden="1">
      <c r="C202" s="84">
        <v>9000</v>
      </c>
      <c r="D202" s="20" t="s">
        <v>31</v>
      </c>
      <c r="E202" s="92">
        <v>11080290</v>
      </c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>
        <v>11080290</v>
      </c>
    </row>
    <row r="203" spans="3:16" ht="22.5" hidden="1">
      <c r="C203" s="20" t="s">
        <v>48</v>
      </c>
      <c r="D203" s="20"/>
      <c r="E203" s="91">
        <f>SUM(E192:E202)</f>
        <v>464997940</v>
      </c>
      <c r="F203" s="91"/>
      <c r="G203" s="91">
        <f aca="true" t="shared" si="50" ref="G203:P203">SUM(G192:G202)</f>
        <v>295216595</v>
      </c>
      <c r="H203" s="91">
        <f t="shared" si="50"/>
        <v>35807937</v>
      </c>
      <c r="I203" s="91">
        <f t="shared" si="50"/>
        <v>0</v>
      </c>
      <c r="J203" s="91">
        <f t="shared" si="50"/>
        <v>39666290</v>
      </c>
      <c r="K203" s="91">
        <f t="shared" si="50"/>
        <v>29337321</v>
      </c>
      <c r="L203" s="91">
        <f t="shared" si="50"/>
        <v>10048969</v>
      </c>
      <c r="M203" s="91">
        <f t="shared" si="50"/>
        <v>2306953</v>
      </c>
      <c r="N203" s="91">
        <f t="shared" si="50"/>
        <v>73626</v>
      </c>
      <c r="O203" s="91">
        <f t="shared" si="50"/>
        <v>29617321</v>
      </c>
      <c r="P203" s="91">
        <f t="shared" si="50"/>
        <v>505546294</v>
      </c>
    </row>
    <row r="204" ht="22.5" hidden="1"/>
    <row r="205" spans="5:16" ht="22.5" hidden="1">
      <c r="E205" s="15" t="e">
        <f>E187-E203-#REF!</f>
        <v>#REF!</v>
      </c>
      <c r="G205" s="15" t="e">
        <f>G187-G203-#REF!</f>
        <v>#REF!</v>
      </c>
      <c r="H205" s="15" t="e">
        <f>H187-H203-#REF!</f>
        <v>#REF!</v>
      </c>
      <c r="I205" s="15" t="e">
        <f>I187-I203-#REF!</f>
        <v>#REF!</v>
      </c>
      <c r="J205" s="15" t="e">
        <f>J187-J203-#REF!</f>
        <v>#REF!</v>
      </c>
      <c r="K205" s="15" t="e">
        <f>K187-K203-#REF!</f>
        <v>#REF!</v>
      </c>
      <c r="L205" s="15" t="e">
        <f>L187-L203-#REF!</f>
        <v>#REF!</v>
      </c>
      <c r="M205" s="15" t="e">
        <f>M187-M203-#REF!</f>
        <v>#REF!</v>
      </c>
      <c r="N205" s="15" t="e">
        <f>N187-N203-#REF!</f>
        <v>#REF!</v>
      </c>
      <c r="O205" s="15" t="e">
        <f>O187-O203-#REF!</f>
        <v>#REF!</v>
      </c>
      <c r="P205" s="15" t="e">
        <f>P187-P203-#REF!</f>
        <v>#REF!</v>
      </c>
    </row>
    <row r="206" ht="22.5" hidden="1"/>
    <row r="207" ht="22.5" hidden="1"/>
    <row r="208" ht="22.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2:D192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F1">
      <selection activeCell="K4" sqref="K4"/>
    </sheetView>
  </sheetViews>
  <sheetFormatPr defaultColWidth="9.00390625" defaultRowHeight="12.75"/>
  <cols>
    <col min="1" max="1" width="16.625" style="0" customWidth="1"/>
    <col min="2" max="2" width="22.50390625" style="0" customWidth="1"/>
    <col min="3" max="3" width="20.00390625" style="0" customWidth="1"/>
    <col min="4" max="6" width="15.625" style="0" customWidth="1"/>
    <col min="7" max="7" width="21.125" style="0" customWidth="1"/>
    <col min="8" max="8" width="20.125" style="0" customWidth="1"/>
    <col min="9" max="9" width="31.50390625" style="0" customWidth="1"/>
    <col min="10" max="10" width="13.50390625" style="0" customWidth="1"/>
    <col min="11" max="12" width="23.625" style="0" customWidth="1"/>
    <col min="13" max="13" width="13.00390625" style="0" customWidth="1"/>
  </cols>
  <sheetData>
    <row r="1" spans="1:12" ht="18">
      <c r="A1" s="25"/>
      <c r="B1" s="25"/>
      <c r="C1" s="25"/>
      <c r="D1" s="25"/>
      <c r="E1" s="25"/>
      <c r="F1" s="25"/>
      <c r="G1" s="100"/>
      <c r="H1" s="100"/>
      <c r="K1" s="39" t="s">
        <v>46</v>
      </c>
      <c r="L1" s="39"/>
    </row>
    <row r="2" spans="1:12" ht="18">
      <c r="A2" s="25"/>
      <c r="B2" s="25"/>
      <c r="C2" s="25"/>
      <c r="D2" s="25"/>
      <c r="E2" s="25"/>
      <c r="F2" s="25"/>
      <c r="G2" s="100"/>
      <c r="H2" s="100"/>
      <c r="K2" s="120" t="s">
        <v>571</v>
      </c>
      <c r="L2" s="120"/>
    </row>
    <row r="3" spans="1:12" ht="18">
      <c r="A3" s="25"/>
      <c r="B3" s="25"/>
      <c r="C3" s="25"/>
      <c r="D3" s="25"/>
      <c r="E3" s="25"/>
      <c r="F3" s="25"/>
      <c r="G3" s="100"/>
      <c r="H3" s="100"/>
      <c r="K3" s="39" t="s">
        <v>577</v>
      </c>
      <c r="L3" s="39"/>
    </row>
    <row r="4" spans="1:12" ht="18">
      <c r="A4" s="25"/>
      <c r="B4" s="25"/>
      <c r="C4" s="25"/>
      <c r="D4" s="25"/>
      <c r="E4" s="25"/>
      <c r="F4" s="25"/>
      <c r="G4" s="100"/>
      <c r="H4" s="100"/>
      <c r="K4" s="39" t="s">
        <v>579</v>
      </c>
      <c r="L4" s="39"/>
    </row>
    <row r="5" spans="1:10" ht="15">
      <c r="A5" s="25"/>
      <c r="B5" s="25"/>
      <c r="C5" s="25"/>
      <c r="D5" s="99"/>
      <c r="E5" s="99"/>
      <c r="F5" s="99"/>
      <c r="G5" s="13"/>
      <c r="H5" s="13"/>
      <c r="I5" s="13"/>
      <c r="J5" s="101"/>
    </row>
    <row r="6" spans="1:10" ht="17.25">
      <c r="A6" s="286" t="s">
        <v>422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8">
      <c r="A7" s="33">
        <v>21528000000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2.75">
      <c r="A8" s="34" t="s">
        <v>58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3.5" thickBot="1">
      <c r="A9" s="103"/>
      <c r="B9" s="101"/>
      <c r="C9" s="101"/>
      <c r="D9" s="104"/>
      <c r="E9" s="104"/>
      <c r="F9" s="104"/>
      <c r="G9" s="104"/>
      <c r="H9" s="104"/>
      <c r="I9" s="104"/>
      <c r="J9" s="104"/>
    </row>
    <row r="10" spans="1:13" ht="30.75" customHeight="1">
      <c r="A10" s="296" t="s">
        <v>423</v>
      </c>
      <c r="B10" s="262" t="s">
        <v>424</v>
      </c>
      <c r="C10" s="290" t="s">
        <v>411</v>
      </c>
      <c r="D10" s="291"/>
      <c r="E10" s="291"/>
      <c r="F10" s="291"/>
      <c r="G10" s="291"/>
      <c r="H10" s="291"/>
      <c r="I10" s="291"/>
      <c r="J10" s="292"/>
      <c r="K10" s="285" t="s">
        <v>535</v>
      </c>
      <c r="L10" s="285"/>
      <c r="M10" s="285"/>
    </row>
    <row r="11" spans="1:13" ht="30" customHeight="1">
      <c r="A11" s="297"/>
      <c r="B11" s="263"/>
      <c r="C11" s="293" t="s">
        <v>412</v>
      </c>
      <c r="D11" s="275" t="s">
        <v>425</v>
      </c>
      <c r="E11" s="275"/>
      <c r="F11" s="275"/>
      <c r="G11" s="275"/>
      <c r="H11" s="275"/>
      <c r="I11" s="275"/>
      <c r="J11" s="272" t="s">
        <v>40</v>
      </c>
      <c r="K11" s="258" t="s">
        <v>425</v>
      </c>
      <c r="L11" s="259"/>
      <c r="M11" s="272" t="s">
        <v>40</v>
      </c>
    </row>
    <row r="12" spans="1:13" ht="15.75">
      <c r="A12" s="297"/>
      <c r="B12" s="263"/>
      <c r="C12" s="294"/>
      <c r="D12" s="276" t="s">
        <v>426</v>
      </c>
      <c r="E12" s="276"/>
      <c r="F12" s="276"/>
      <c r="G12" s="276"/>
      <c r="H12" s="276"/>
      <c r="I12" s="276"/>
      <c r="J12" s="273"/>
      <c r="K12" s="258" t="s">
        <v>426</v>
      </c>
      <c r="L12" s="259"/>
      <c r="M12" s="273"/>
    </row>
    <row r="13" spans="1:13" ht="35.25" customHeight="1">
      <c r="A13" s="298"/>
      <c r="B13" s="264"/>
      <c r="C13" s="281" t="s">
        <v>416</v>
      </c>
      <c r="D13" s="295" t="s">
        <v>414</v>
      </c>
      <c r="E13" s="266" t="s">
        <v>413</v>
      </c>
      <c r="F13" s="267"/>
      <c r="G13" s="277" t="s">
        <v>415</v>
      </c>
      <c r="H13" s="279" t="s">
        <v>429</v>
      </c>
      <c r="I13" s="280"/>
      <c r="J13" s="273"/>
      <c r="K13" s="226" t="s">
        <v>429</v>
      </c>
      <c r="L13" s="260" t="s">
        <v>497</v>
      </c>
      <c r="M13" s="273"/>
    </row>
    <row r="14" spans="1:13" ht="106.5" customHeight="1">
      <c r="A14" s="298"/>
      <c r="B14" s="264"/>
      <c r="C14" s="288"/>
      <c r="D14" s="259"/>
      <c r="E14" s="268"/>
      <c r="F14" s="269"/>
      <c r="G14" s="278"/>
      <c r="H14" s="281" t="s">
        <v>432</v>
      </c>
      <c r="I14" s="106" t="s">
        <v>430</v>
      </c>
      <c r="J14" s="273"/>
      <c r="K14" s="260" t="s">
        <v>536</v>
      </c>
      <c r="L14" s="261"/>
      <c r="M14" s="273"/>
    </row>
    <row r="15" spans="1:13" ht="43.5" customHeight="1">
      <c r="A15" s="298"/>
      <c r="B15" s="264"/>
      <c r="C15" s="288"/>
      <c r="D15" s="259"/>
      <c r="E15" s="270" t="s">
        <v>417</v>
      </c>
      <c r="F15" s="271"/>
      <c r="G15" s="281" t="s">
        <v>428</v>
      </c>
      <c r="H15" s="278"/>
      <c r="I15" s="281" t="s">
        <v>431</v>
      </c>
      <c r="J15" s="273"/>
      <c r="K15" s="284"/>
      <c r="L15" s="261"/>
      <c r="M15" s="273"/>
    </row>
    <row r="16" spans="1:13" ht="165.75" customHeight="1">
      <c r="A16" s="298"/>
      <c r="B16" s="264"/>
      <c r="C16" s="289"/>
      <c r="D16" s="119" t="s">
        <v>427</v>
      </c>
      <c r="E16" s="106" t="s">
        <v>49</v>
      </c>
      <c r="F16" s="105" t="s">
        <v>51</v>
      </c>
      <c r="G16" s="282"/>
      <c r="H16" s="282"/>
      <c r="I16" s="283"/>
      <c r="J16" s="273"/>
      <c r="K16" s="284"/>
      <c r="L16" s="261"/>
      <c r="M16" s="273"/>
    </row>
    <row r="17" spans="1:13" ht="21.75" customHeight="1">
      <c r="A17" s="299"/>
      <c r="B17" s="265"/>
      <c r="C17" s="119">
        <v>41040200</v>
      </c>
      <c r="D17" s="119">
        <v>41051000</v>
      </c>
      <c r="E17" s="119">
        <v>41051200</v>
      </c>
      <c r="F17" s="119">
        <v>41051200</v>
      </c>
      <c r="G17" s="178">
        <v>41051500</v>
      </c>
      <c r="H17" s="178">
        <v>41053900</v>
      </c>
      <c r="I17" s="119">
        <v>41053900</v>
      </c>
      <c r="J17" s="274"/>
      <c r="K17" s="119">
        <v>9770</v>
      </c>
      <c r="L17" s="119">
        <v>9800</v>
      </c>
      <c r="M17" s="274"/>
    </row>
    <row r="18" spans="1:13" ht="12.75">
      <c r="A18" s="179">
        <v>1</v>
      </c>
      <c r="B18" s="180">
        <v>2</v>
      </c>
      <c r="C18" s="181">
        <v>3</v>
      </c>
      <c r="D18" s="182" t="s">
        <v>418</v>
      </c>
      <c r="E18" s="182" t="s">
        <v>419</v>
      </c>
      <c r="F18" s="182" t="s">
        <v>420</v>
      </c>
      <c r="G18" s="181">
        <v>7</v>
      </c>
      <c r="H18" s="181">
        <v>8</v>
      </c>
      <c r="I18" s="181">
        <v>9</v>
      </c>
      <c r="J18" s="181">
        <v>10</v>
      </c>
      <c r="K18" s="181">
        <v>11</v>
      </c>
      <c r="L18" s="181">
        <v>12</v>
      </c>
      <c r="M18" s="181">
        <v>13</v>
      </c>
    </row>
    <row r="19" spans="1:13" ht="36">
      <c r="A19" s="179"/>
      <c r="B19" s="108" t="s">
        <v>578</v>
      </c>
      <c r="C19" s="181"/>
      <c r="D19" s="182"/>
      <c r="E19" s="182"/>
      <c r="F19" s="182"/>
      <c r="G19" s="181"/>
      <c r="H19" s="181"/>
      <c r="I19" s="181"/>
      <c r="J19" s="181"/>
      <c r="K19" s="181"/>
      <c r="L19" s="109">
        <v>1178150</v>
      </c>
      <c r="M19" s="109">
        <f>L19</f>
        <v>1178150</v>
      </c>
    </row>
    <row r="20" spans="1:13" ht="24" customHeight="1">
      <c r="A20" s="107">
        <v>21100000000</v>
      </c>
      <c r="B20" s="108" t="s">
        <v>421</v>
      </c>
      <c r="C20" s="109">
        <v>1256800</v>
      </c>
      <c r="D20" s="110">
        <v>844767</v>
      </c>
      <c r="E20" s="110">
        <v>135900</v>
      </c>
      <c r="F20" s="110">
        <v>144000</v>
      </c>
      <c r="G20" s="110">
        <v>432000</v>
      </c>
      <c r="H20" s="110">
        <v>147000</v>
      </c>
      <c r="I20" s="110">
        <v>500000</v>
      </c>
      <c r="J20" s="110">
        <f>SUM(C20:I20)</f>
        <v>3460467</v>
      </c>
      <c r="K20" s="181"/>
      <c r="L20" s="181"/>
      <c r="M20" s="204"/>
    </row>
    <row r="21" spans="1:13" ht="38.25" customHeight="1">
      <c r="A21" s="205">
        <v>21203701700</v>
      </c>
      <c r="B21" s="206" t="s">
        <v>537</v>
      </c>
      <c r="C21" s="201"/>
      <c r="D21" s="111"/>
      <c r="E21" s="202"/>
      <c r="F21" s="202"/>
      <c r="G21" s="202"/>
      <c r="H21" s="202"/>
      <c r="I21" s="202"/>
      <c r="J21" s="202"/>
      <c r="K21" s="109">
        <v>202048</v>
      </c>
      <c r="L21" s="109"/>
      <c r="M21" s="109">
        <f>K21</f>
        <v>202048</v>
      </c>
    </row>
    <row r="22" spans="1:13" ht="26.25" customHeight="1" thickBot="1">
      <c r="A22" s="112" t="s">
        <v>56</v>
      </c>
      <c r="B22" s="113" t="s">
        <v>54</v>
      </c>
      <c r="C22" s="114">
        <f>SUM(C20:C20)</f>
        <v>1256800</v>
      </c>
      <c r="D22" s="114">
        <f aca="true" t="shared" si="0" ref="D22:J22">D20</f>
        <v>844767</v>
      </c>
      <c r="E22" s="114">
        <f t="shared" si="0"/>
        <v>135900</v>
      </c>
      <c r="F22" s="114">
        <f t="shared" si="0"/>
        <v>144000</v>
      </c>
      <c r="G22" s="114">
        <f t="shared" si="0"/>
        <v>432000</v>
      </c>
      <c r="H22" s="114">
        <f t="shared" si="0"/>
        <v>147000</v>
      </c>
      <c r="I22" s="114">
        <f t="shared" si="0"/>
        <v>500000</v>
      </c>
      <c r="J22" s="114">
        <f t="shared" si="0"/>
        <v>3460467</v>
      </c>
      <c r="K22" s="207">
        <f>K20+K21</f>
        <v>202048</v>
      </c>
      <c r="L22" s="207">
        <f>L19</f>
        <v>1178150</v>
      </c>
      <c r="M22" s="207">
        <f>K22+L22</f>
        <v>1380198</v>
      </c>
    </row>
    <row r="23" spans="1:13" ht="18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33"/>
      <c r="L23" s="33"/>
      <c r="M23" s="203"/>
    </row>
    <row r="24" spans="1:13" ht="18">
      <c r="A24" s="115"/>
      <c r="B24" s="116"/>
      <c r="C24" s="117"/>
      <c r="D24" s="117"/>
      <c r="E24" s="117"/>
      <c r="F24" s="117"/>
      <c r="G24" s="117"/>
      <c r="H24" s="117"/>
      <c r="I24" s="117"/>
      <c r="J24" s="117"/>
      <c r="K24" s="33"/>
      <c r="L24" s="33"/>
      <c r="M24" s="203"/>
    </row>
    <row r="25" spans="1:13" ht="18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33"/>
      <c r="L25" s="33"/>
      <c r="M25" s="203"/>
    </row>
    <row r="26" spans="1:13" ht="17.25">
      <c r="A26" s="115"/>
      <c r="B26" s="116"/>
      <c r="C26" s="118"/>
      <c r="D26" s="118"/>
      <c r="E26" s="118"/>
      <c r="F26" s="118"/>
      <c r="G26" s="118"/>
      <c r="H26" s="118"/>
      <c r="I26" s="118"/>
      <c r="J26" s="118"/>
      <c r="K26" s="117"/>
      <c r="L26" s="117"/>
      <c r="M26" s="117"/>
    </row>
    <row r="27" spans="2:12" ht="18">
      <c r="B27" s="39" t="s">
        <v>573</v>
      </c>
      <c r="C27" s="39"/>
      <c r="D27" s="39"/>
      <c r="E27" s="81"/>
      <c r="H27" s="81"/>
      <c r="I27" s="81"/>
      <c r="J27" s="81"/>
      <c r="K27" s="39" t="s">
        <v>574</v>
      </c>
      <c r="L27" s="39"/>
    </row>
  </sheetData>
  <sheetProtection/>
  <mergeCells count="23">
    <mergeCell ref="A6:J6"/>
    <mergeCell ref="C13:C16"/>
    <mergeCell ref="C10:J10"/>
    <mergeCell ref="C11:C12"/>
    <mergeCell ref="G15:G16"/>
    <mergeCell ref="D13:D15"/>
    <mergeCell ref="A10:A17"/>
    <mergeCell ref="H13:I13"/>
    <mergeCell ref="H14:H16"/>
    <mergeCell ref="I15:I16"/>
    <mergeCell ref="K14:K16"/>
    <mergeCell ref="K10:M10"/>
    <mergeCell ref="M11:M17"/>
    <mergeCell ref="K11:L11"/>
    <mergeCell ref="K12:L12"/>
    <mergeCell ref="L13:L16"/>
    <mergeCell ref="B10:B17"/>
    <mergeCell ref="E13:F14"/>
    <mergeCell ref="E15:F15"/>
    <mergeCell ref="J11:J17"/>
    <mergeCell ref="D11:I11"/>
    <mergeCell ref="D12:I12"/>
    <mergeCell ref="G13:G14"/>
  </mergeCells>
  <printOptions/>
  <pageMargins left="0.31496062992125984" right="0.11811023622047245" top="0.35433070866141736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F1">
      <selection activeCell="H4" sqref="H4"/>
    </sheetView>
  </sheetViews>
  <sheetFormatPr defaultColWidth="9.00390625" defaultRowHeight="12.75"/>
  <cols>
    <col min="1" max="1" width="13.0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1.87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9" t="s">
        <v>55</v>
      </c>
      <c r="I1" s="39"/>
      <c r="J1" s="39"/>
    </row>
    <row r="2" spans="8:10" ht="18">
      <c r="H2" s="120" t="s">
        <v>576</v>
      </c>
      <c r="I2" s="120"/>
      <c r="J2" s="39"/>
    </row>
    <row r="3" spans="8:10" ht="18">
      <c r="H3" s="39" t="s">
        <v>575</v>
      </c>
      <c r="I3" s="39"/>
      <c r="J3" s="39"/>
    </row>
    <row r="4" spans="8:10" ht="18">
      <c r="H4" s="39" t="s">
        <v>579</v>
      </c>
      <c r="I4" s="39"/>
      <c r="J4" s="39"/>
    </row>
    <row r="6" spans="1:10" ht="12.75">
      <c r="A6" s="314" t="s">
        <v>27</v>
      </c>
      <c r="B6" s="314"/>
      <c r="C6" s="314"/>
      <c r="D6" s="314"/>
      <c r="E6" s="314"/>
      <c r="F6" s="314"/>
      <c r="G6" s="314"/>
      <c r="H6" s="314"/>
      <c r="I6" s="314"/>
      <c r="J6" s="314"/>
    </row>
    <row r="7" spans="1:10" ht="36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3.5">
      <c r="A8" s="68" t="s">
        <v>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" customHeight="1">
      <c r="A9" s="34" t="s">
        <v>58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12" t="s">
        <v>60</v>
      </c>
      <c r="B11" s="312" t="s">
        <v>61</v>
      </c>
      <c r="C11" s="312" t="s">
        <v>47</v>
      </c>
      <c r="D11" s="312" t="s">
        <v>63</v>
      </c>
      <c r="E11" s="312" t="s">
        <v>64</v>
      </c>
      <c r="F11" s="312" t="s">
        <v>65</v>
      </c>
      <c r="G11" s="312" t="s">
        <v>66</v>
      </c>
      <c r="H11" s="312" t="s">
        <v>67</v>
      </c>
      <c r="I11" s="312" t="s">
        <v>68</v>
      </c>
      <c r="J11" s="312" t="s">
        <v>69</v>
      </c>
    </row>
    <row r="12" spans="1:10" ht="27.7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</row>
    <row r="13" spans="1:10" ht="27.75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</row>
    <row r="14" spans="1:10" ht="27.75" customHeight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</row>
    <row r="15" spans="1:10" ht="10.5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</row>
    <row r="16" spans="1:10" ht="13.5">
      <c r="A16" s="71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71">
        <v>8</v>
      </c>
      <c r="I16" s="71">
        <v>9</v>
      </c>
      <c r="J16" s="71">
        <v>10</v>
      </c>
    </row>
    <row r="17" spans="1:10" ht="36.75" customHeight="1">
      <c r="A17" s="8" t="s">
        <v>72</v>
      </c>
      <c r="B17" s="8"/>
      <c r="C17" s="8"/>
      <c r="D17" s="9" t="s">
        <v>73</v>
      </c>
      <c r="E17" s="72"/>
      <c r="F17" s="72"/>
      <c r="G17" s="72"/>
      <c r="H17" s="72"/>
      <c r="I17" s="73">
        <f>I18</f>
        <v>3418476</v>
      </c>
      <c r="J17" s="72"/>
    </row>
    <row r="18" spans="1:10" ht="36.75" customHeight="1">
      <c r="A18" s="8" t="s">
        <v>74</v>
      </c>
      <c r="B18" s="8"/>
      <c r="C18" s="8"/>
      <c r="D18" s="9" t="s">
        <v>73</v>
      </c>
      <c r="E18" s="72"/>
      <c r="F18" s="72"/>
      <c r="G18" s="72"/>
      <c r="H18" s="72"/>
      <c r="I18" s="73">
        <f>SUM(I19:I26)</f>
        <v>3418476</v>
      </c>
      <c r="J18" s="72"/>
    </row>
    <row r="19" spans="1:10" ht="56.25" customHeight="1">
      <c r="A19" s="300" t="s">
        <v>460</v>
      </c>
      <c r="B19" s="300" t="s">
        <v>319</v>
      </c>
      <c r="C19" s="300" t="s">
        <v>141</v>
      </c>
      <c r="D19" s="303" t="s">
        <v>470</v>
      </c>
      <c r="E19" s="126" t="s">
        <v>488</v>
      </c>
      <c r="F19" s="188">
        <v>2020</v>
      </c>
      <c r="G19" s="190">
        <v>57727</v>
      </c>
      <c r="H19" s="72"/>
      <c r="I19" s="72">
        <v>57727</v>
      </c>
      <c r="J19" s="74">
        <v>100</v>
      </c>
    </row>
    <row r="20" spans="1:10" ht="18" customHeight="1">
      <c r="A20" s="301"/>
      <c r="B20" s="301"/>
      <c r="C20" s="301"/>
      <c r="D20" s="304"/>
      <c r="E20" s="126" t="s">
        <v>542</v>
      </c>
      <c r="F20" s="188">
        <v>2020</v>
      </c>
      <c r="G20" s="190">
        <v>53021</v>
      </c>
      <c r="H20" s="72"/>
      <c r="I20" s="72">
        <v>53021</v>
      </c>
      <c r="J20" s="74">
        <v>100</v>
      </c>
    </row>
    <row r="21" spans="1:10" ht="53.25" customHeight="1">
      <c r="A21" s="301"/>
      <c r="B21" s="301"/>
      <c r="C21" s="301"/>
      <c r="D21" s="304"/>
      <c r="E21" s="126" t="s">
        <v>559</v>
      </c>
      <c r="F21" s="188">
        <v>2020</v>
      </c>
      <c r="G21" s="190">
        <v>60000</v>
      </c>
      <c r="H21" s="72"/>
      <c r="I21" s="72">
        <v>60000</v>
      </c>
      <c r="J21" s="74">
        <v>100</v>
      </c>
    </row>
    <row r="22" spans="1:10" ht="37.5" customHeight="1">
      <c r="A22" s="301"/>
      <c r="B22" s="301"/>
      <c r="C22" s="301"/>
      <c r="D22" s="304"/>
      <c r="E22" s="126" t="s">
        <v>543</v>
      </c>
      <c r="F22" s="188">
        <v>2020</v>
      </c>
      <c r="G22" s="190">
        <v>300000</v>
      </c>
      <c r="H22" s="72"/>
      <c r="I22" s="72">
        <v>300000</v>
      </c>
      <c r="J22" s="74">
        <v>100</v>
      </c>
    </row>
    <row r="23" spans="1:10" ht="36.75" customHeight="1">
      <c r="A23" s="283"/>
      <c r="B23" s="302"/>
      <c r="C23" s="283"/>
      <c r="D23" s="289"/>
      <c r="E23" s="187" t="s">
        <v>486</v>
      </c>
      <c r="F23" s="188" t="s">
        <v>487</v>
      </c>
      <c r="G23" s="190">
        <v>1343074</v>
      </c>
      <c r="H23" s="72">
        <v>73.4</v>
      </c>
      <c r="I23" s="72">
        <v>236684</v>
      </c>
      <c r="J23" s="74">
        <v>91</v>
      </c>
    </row>
    <row r="24" spans="1:10" ht="72" customHeight="1">
      <c r="A24" s="310" t="s">
        <v>391</v>
      </c>
      <c r="B24" s="310" t="s">
        <v>389</v>
      </c>
      <c r="C24" s="310" t="s">
        <v>142</v>
      </c>
      <c r="D24" s="313" t="s">
        <v>390</v>
      </c>
      <c r="E24" s="126" t="s">
        <v>28</v>
      </c>
      <c r="F24" s="72">
        <v>2020</v>
      </c>
      <c r="G24" s="185">
        <v>12247008</v>
      </c>
      <c r="H24" s="72"/>
      <c r="I24" s="72">
        <v>1204337</v>
      </c>
      <c r="J24" s="74">
        <v>9.8</v>
      </c>
    </row>
    <row r="25" spans="1:10" ht="74.25" customHeight="1">
      <c r="A25" s="310"/>
      <c r="B25" s="310"/>
      <c r="C25" s="310"/>
      <c r="D25" s="313"/>
      <c r="E25" s="126" t="s">
        <v>29</v>
      </c>
      <c r="F25" s="72" t="s">
        <v>489</v>
      </c>
      <c r="G25" s="72">
        <v>6228838</v>
      </c>
      <c r="H25" s="72">
        <v>1.1</v>
      </c>
      <c r="I25" s="72">
        <v>200000</v>
      </c>
      <c r="J25" s="74">
        <v>4.3</v>
      </c>
    </row>
    <row r="26" spans="1:11" ht="37.5" customHeight="1">
      <c r="A26" s="311"/>
      <c r="B26" s="311"/>
      <c r="C26" s="311"/>
      <c r="D26" s="261"/>
      <c r="E26" s="187" t="s">
        <v>474</v>
      </c>
      <c r="F26" s="188" t="s">
        <v>490</v>
      </c>
      <c r="G26" s="189">
        <v>20691542</v>
      </c>
      <c r="H26" s="193">
        <v>6.7</v>
      </c>
      <c r="I26" s="190">
        <v>1306707</v>
      </c>
      <c r="J26" s="74">
        <v>13</v>
      </c>
      <c r="K26" s="194"/>
    </row>
    <row r="27" spans="1:10" ht="50.25" customHeight="1">
      <c r="A27" s="8" t="s">
        <v>184</v>
      </c>
      <c r="B27" s="8"/>
      <c r="C27" s="8"/>
      <c r="D27" s="9" t="s">
        <v>185</v>
      </c>
      <c r="E27" s="72"/>
      <c r="F27" s="72"/>
      <c r="G27" s="72"/>
      <c r="H27" s="72"/>
      <c r="I27" s="73">
        <f>I28</f>
        <v>644454</v>
      </c>
      <c r="J27" s="72"/>
    </row>
    <row r="28" spans="1:10" ht="57" customHeight="1">
      <c r="A28" s="8" t="s">
        <v>186</v>
      </c>
      <c r="B28" s="8"/>
      <c r="C28" s="8"/>
      <c r="D28" s="9" t="s">
        <v>185</v>
      </c>
      <c r="E28" s="72"/>
      <c r="F28" s="72"/>
      <c r="G28" s="72"/>
      <c r="H28" s="72"/>
      <c r="I28" s="73">
        <f>SUM(I29:I30)</f>
        <v>644454</v>
      </c>
      <c r="J28" s="72"/>
    </row>
    <row r="29" spans="1:10" ht="60.75" customHeight="1">
      <c r="A29" s="216" t="s">
        <v>471</v>
      </c>
      <c r="B29" s="216" t="s">
        <v>472</v>
      </c>
      <c r="C29" s="216" t="s">
        <v>141</v>
      </c>
      <c r="D29" s="215" t="s">
        <v>473</v>
      </c>
      <c r="E29" s="126" t="s">
        <v>560</v>
      </c>
      <c r="F29" s="72">
        <v>2020</v>
      </c>
      <c r="G29" s="72">
        <v>46683</v>
      </c>
      <c r="H29" s="72"/>
      <c r="I29" s="72">
        <v>46683</v>
      </c>
      <c r="J29" s="74">
        <v>100</v>
      </c>
    </row>
    <row r="30" spans="1:10" ht="93" customHeight="1">
      <c r="A30" s="10" t="s">
        <v>388</v>
      </c>
      <c r="B30" s="10" t="s">
        <v>389</v>
      </c>
      <c r="C30" s="10" t="s">
        <v>142</v>
      </c>
      <c r="D30" s="11" t="s">
        <v>390</v>
      </c>
      <c r="E30" s="126" t="s">
        <v>468</v>
      </c>
      <c r="F30" s="72" t="s">
        <v>490</v>
      </c>
      <c r="G30" s="72">
        <v>6093630</v>
      </c>
      <c r="H30" s="72">
        <v>1.9</v>
      </c>
      <c r="I30" s="72">
        <v>597771</v>
      </c>
      <c r="J30" s="74">
        <v>11.7</v>
      </c>
    </row>
    <row r="31" spans="1:10" ht="54" customHeight="1">
      <c r="A31" s="218" t="s">
        <v>240</v>
      </c>
      <c r="B31" s="218"/>
      <c r="C31" s="218"/>
      <c r="D31" s="219" t="s">
        <v>241</v>
      </c>
      <c r="E31" s="126"/>
      <c r="F31" s="72"/>
      <c r="G31" s="72"/>
      <c r="H31" s="72"/>
      <c r="I31" s="73">
        <f>I32</f>
        <v>800000</v>
      </c>
      <c r="J31" s="74"/>
    </row>
    <row r="32" spans="1:10" ht="55.5" customHeight="1">
      <c r="A32" s="218" t="s">
        <v>242</v>
      </c>
      <c r="B32" s="218"/>
      <c r="C32" s="218"/>
      <c r="D32" s="219" t="s">
        <v>241</v>
      </c>
      <c r="E32" s="126"/>
      <c r="F32" s="72"/>
      <c r="G32" s="72"/>
      <c r="H32" s="72"/>
      <c r="I32" s="73">
        <f>SUM(I33:I34)</f>
        <v>800000</v>
      </c>
      <c r="J32" s="74"/>
    </row>
    <row r="33" spans="1:10" ht="64.5" customHeight="1">
      <c r="A33" s="216" t="s">
        <v>508</v>
      </c>
      <c r="B33" s="216" t="s">
        <v>509</v>
      </c>
      <c r="C33" s="220" t="s">
        <v>141</v>
      </c>
      <c r="D33" s="215" t="s">
        <v>510</v>
      </c>
      <c r="E33" s="126" t="s">
        <v>562</v>
      </c>
      <c r="F33" s="72">
        <v>2020</v>
      </c>
      <c r="G33" s="72">
        <v>600000</v>
      </c>
      <c r="H33" s="72"/>
      <c r="I33" s="72">
        <v>600000</v>
      </c>
      <c r="J33" s="74">
        <v>100</v>
      </c>
    </row>
    <row r="34" spans="1:10" ht="54.75" customHeight="1">
      <c r="A34" s="216" t="s">
        <v>511</v>
      </c>
      <c r="B34" s="216" t="s">
        <v>512</v>
      </c>
      <c r="C34" s="220" t="s">
        <v>141</v>
      </c>
      <c r="D34" s="215" t="s">
        <v>513</v>
      </c>
      <c r="E34" s="126" t="s">
        <v>561</v>
      </c>
      <c r="F34" s="72">
        <v>2020</v>
      </c>
      <c r="G34" s="72">
        <v>200000</v>
      </c>
      <c r="H34" s="72"/>
      <c r="I34" s="72">
        <v>200000</v>
      </c>
      <c r="J34" s="74">
        <v>100</v>
      </c>
    </row>
    <row r="35" spans="1:10" ht="67.5" customHeight="1">
      <c r="A35" s="8" t="s">
        <v>292</v>
      </c>
      <c r="B35" s="8"/>
      <c r="C35" s="8"/>
      <c r="D35" s="221" t="s">
        <v>293</v>
      </c>
      <c r="E35" s="126"/>
      <c r="F35" s="72"/>
      <c r="G35" s="72"/>
      <c r="H35" s="72"/>
      <c r="I35" s="73">
        <f>I36</f>
        <v>6689527</v>
      </c>
      <c r="J35" s="74"/>
    </row>
    <row r="36" spans="1:10" ht="69" customHeight="1">
      <c r="A36" s="8" t="s">
        <v>294</v>
      </c>
      <c r="B36" s="8"/>
      <c r="C36" s="8"/>
      <c r="D36" s="221" t="s">
        <v>293</v>
      </c>
      <c r="E36" s="126"/>
      <c r="F36" s="72"/>
      <c r="G36" s="72"/>
      <c r="H36" s="72"/>
      <c r="I36" s="73">
        <f>SUM(I37:I38)</f>
        <v>6689527</v>
      </c>
      <c r="J36" s="74"/>
    </row>
    <row r="37" spans="1:10" ht="72" customHeight="1">
      <c r="A37" s="216" t="s">
        <v>531</v>
      </c>
      <c r="B37" s="216" t="s">
        <v>476</v>
      </c>
      <c r="C37" s="216" t="s">
        <v>141</v>
      </c>
      <c r="D37" s="215" t="s">
        <v>477</v>
      </c>
      <c r="E37" s="126" t="s">
        <v>563</v>
      </c>
      <c r="F37" s="72" t="s">
        <v>565</v>
      </c>
      <c r="G37" s="72">
        <v>2866645</v>
      </c>
      <c r="H37" s="72">
        <v>99.2</v>
      </c>
      <c r="I37" s="72">
        <v>22860</v>
      </c>
      <c r="J37" s="74">
        <v>100</v>
      </c>
    </row>
    <row r="38" spans="1:10" ht="102.75" customHeight="1">
      <c r="A38" s="216" t="s">
        <v>530</v>
      </c>
      <c r="B38" s="216" t="s">
        <v>389</v>
      </c>
      <c r="C38" s="216" t="s">
        <v>142</v>
      </c>
      <c r="D38" s="215" t="s">
        <v>390</v>
      </c>
      <c r="E38" s="126" t="s">
        <v>564</v>
      </c>
      <c r="F38" s="72" t="s">
        <v>566</v>
      </c>
      <c r="G38" s="72">
        <v>434764188</v>
      </c>
      <c r="H38" s="72"/>
      <c r="I38" s="72">
        <v>6666667</v>
      </c>
      <c r="J38" s="74">
        <v>1.5</v>
      </c>
    </row>
    <row r="39" spans="1:10" ht="96" customHeight="1">
      <c r="A39" s="8" t="s">
        <v>311</v>
      </c>
      <c r="B39" s="10"/>
      <c r="C39" s="10"/>
      <c r="D39" s="9" t="s">
        <v>312</v>
      </c>
      <c r="E39" s="7"/>
      <c r="F39" s="75"/>
      <c r="G39" s="75"/>
      <c r="H39" s="75"/>
      <c r="I39" s="73">
        <f>I40</f>
        <v>1667415</v>
      </c>
      <c r="J39" s="75"/>
    </row>
    <row r="40" spans="1:10" ht="95.25" customHeight="1">
      <c r="A40" s="8" t="s">
        <v>313</v>
      </c>
      <c r="B40" s="10"/>
      <c r="C40" s="10"/>
      <c r="D40" s="9" t="s">
        <v>312</v>
      </c>
      <c r="E40" s="7"/>
      <c r="F40" s="75"/>
      <c r="G40" s="75"/>
      <c r="H40" s="75"/>
      <c r="I40" s="73">
        <f>SUM(I41:I54)</f>
        <v>1667415</v>
      </c>
      <c r="J40" s="75"/>
    </row>
    <row r="41" spans="1:10" ht="55.5" customHeight="1">
      <c r="A41" s="315" t="s">
        <v>376</v>
      </c>
      <c r="B41" s="315" t="s">
        <v>377</v>
      </c>
      <c r="C41" s="315" t="s">
        <v>141</v>
      </c>
      <c r="D41" s="313" t="s">
        <v>378</v>
      </c>
      <c r="E41" s="19" t="s">
        <v>433</v>
      </c>
      <c r="F41" s="76">
        <v>2020</v>
      </c>
      <c r="G41" s="77">
        <v>5414</v>
      </c>
      <c r="H41" s="78"/>
      <c r="I41" s="77">
        <v>5414</v>
      </c>
      <c r="J41" s="78">
        <v>100</v>
      </c>
    </row>
    <row r="42" spans="1:10" ht="36">
      <c r="A42" s="259"/>
      <c r="B42" s="259"/>
      <c r="C42" s="259"/>
      <c r="D42" s="261"/>
      <c r="E42" s="19" t="s">
        <v>434</v>
      </c>
      <c r="F42" s="76">
        <v>2020</v>
      </c>
      <c r="G42" s="77">
        <v>5362</v>
      </c>
      <c r="H42" s="78"/>
      <c r="I42" s="77">
        <v>5362</v>
      </c>
      <c r="J42" s="78">
        <v>100</v>
      </c>
    </row>
    <row r="43" spans="1:10" ht="59.25" customHeight="1">
      <c r="A43" s="259"/>
      <c r="B43" s="259"/>
      <c r="C43" s="259"/>
      <c r="D43" s="261"/>
      <c r="E43" s="79" t="s">
        <v>435</v>
      </c>
      <c r="F43" s="76">
        <v>2020</v>
      </c>
      <c r="G43" s="77">
        <v>10194</v>
      </c>
      <c r="H43" s="78"/>
      <c r="I43" s="77">
        <v>10194</v>
      </c>
      <c r="J43" s="78">
        <v>100</v>
      </c>
    </row>
    <row r="44" spans="1:10" ht="36">
      <c r="A44" s="259"/>
      <c r="B44" s="259"/>
      <c r="C44" s="259"/>
      <c r="D44" s="261"/>
      <c r="E44" s="79" t="s">
        <v>436</v>
      </c>
      <c r="F44" s="76">
        <v>2020</v>
      </c>
      <c r="G44" s="77">
        <v>20920</v>
      </c>
      <c r="H44" s="78"/>
      <c r="I44" s="77">
        <v>20920</v>
      </c>
      <c r="J44" s="78">
        <v>100</v>
      </c>
    </row>
    <row r="45" spans="1:10" ht="41.25" customHeight="1">
      <c r="A45" s="259"/>
      <c r="B45" s="259"/>
      <c r="C45" s="259"/>
      <c r="D45" s="261"/>
      <c r="E45" s="79" t="s">
        <v>30</v>
      </c>
      <c r="F45" s="76">
        <v>2020</v>
      </c>
      <c r="G45" s="77">
        <v>533388</v>
      </c>
      <c r="H45" s="78"/>
      <c r="I45" s="77">
        <v>533388</v>
      </c>
      <c r="J45" s="78">
        <v>100</v>
      </c>
    </row>
    <row r="46" spans="1:10" ht="78.75" customHeight="1">
      <c r="A46" s="306" t="s">
        <v>318</v>
      </c>
      <c r="B46" s="306" t="s">
        <v>319</v>
      </c>
      <c r="C46" s="306" t="s">
        <v>141</v>
      </c>
      <c r="D46" s="303" t="s">
        <v>320</v>
      </c>
      <c r="E46" s="79" t="s">
        <v>469</v>
      </c>
      <c r="F46" s="76">
        <v>2020</v>
      </c>
      <c r="G46" s="77">
        <v>377344</v>
      </c>
      <c r="H46" s="78"/>
      <c r="I46" s="77">
        <v>377344</v>
      </c>
      <c r="J46" s="78">
        <v>100</v>
      </c>
    </row>
    <row r="47" spans="1:10" ht="42" customHeight="1">
      <c r="A47" s="307"/>
      <c r="B47" s="307"/>
      <c r="C47" s="307"/>
      <c r="D47" s="304"/>
      <c r="E47" s="79" t="s">
        <v>467</v>
      </c>
      <c r="F47" s="76">
        <v>2020</v>
      </c>
      <c r="G47" s="77">
        <v>82969</v>
      </c>
      <c r="H47" s="78"/>
      <c r="I47" s="77">
        <v>82969</v>
      </c>
      <c r="J47" s="78">
        <v>100</v>
      </c>
    </row>
    <row r="48" spans="1:10" ht="55.5" customHeight="1">
      <c r="A48" s="307"/>
      <c r="B48" s="307"/>
      <c r="C48" s="307"/>
      <c r="D48" s="304"/>
      <c r="E48" s="79" t="s">
        <v>5</v>
      </c>
      <c r="F48" s="76">
        <v>2020</v>
      </c>
      <c r="G48" s="77">
        <v>50723</v>
      </c>
      <c r="H48" s="78"/>
      <c r="I48" s="77">
        <v>50723</v>
      </c>
      <c r="J48" s="78">
        <v>100</v>
      </c>
    </row>
    <row r="49" spans="1:10" ht="37.5" customHeight="1">
      <c r="A49" s="308"/>
      <c r="B49" s="308"/>
      <c r="C49" s="308"/>
      <c r="D49" s="305"/>
      <c r="E49" s="79" t="s">
        <v>2</v>
      </c>
      <c r="F49" s="76">
        <v>2020</v>
      </c>
      <c r="G49" s="77">
        <v>92758</v>
      </c>
      <c r="H49" s="78"/>
      <c r="I49" s="77">
        <v>92758</v>
      </c>
      <c r="J49" s="78">
        <v>100</v>
      </c>
    </row>
    <row r="50" spans="1:10" ht="39.75" customHeight="1">
      <c r="A50" s="308"/>
      <c r="B50" s="308"/>
      <c r="C50" s="308"/>
      <c r="D50" s="305"/>
      <c r="E50" s="79" t="s">
        <v>3</v>
      </c>
      <c r="F50" s="76">
        <v>2020</v>
      </c>
      <c r="G50" s="77">
        <v>83846</v>
      </c>
      <c r="H50" s="78"/>
      <c r="I50" s="77">
        <v>83846</v>
      </c>
      <c r="J50" s="78">
        <v>100</v>
      </c>
    </row>
    <row r="51" spans="1:10" ht="44.25" customHeight="1">
      <c r="A51" s="308"/>
      <c r="B51" s="308"/>
      <c r="C51" s="308"/>
      <c r="D51" s="305"/>
      <c r="E51" s="79" t="s">
        <v>6</v>
      </c>
      <c r="F51" s="76">
        <v>2020</v>
      </c>
      <c r="G51" s="77">
        <v>59562</v>
      </c>
      <c r="H51" s="78"/>
      <c r="I51" s="77">
        <v>59562</v>
      </c>
      <c r="J51" s="78">
        <v>100</v>
      </c>
    </row>
    <row r="52" spans="1:10" ht="36">
      <c r="A52" s="308"/>
      <c r="B52" s="308"/>
      <c r="C52" s="308"/>
      <c r="D52" s="305"/>
      <c r="E52" s="79" t="s">
        <v>4</v>
      </c>
      <c r="F52" s="76">
        <v>2020</v>
      </c>
      <c r="G52" s="77">
        <v>101117</v>
      </c>
      <c r="H52" s="78"/>
      <c r="I52" s="77">
        <v>101117</v>
      </c>
      <c r="J52" s="78">
        <v>100</v>
      </c>
    </row>
    <row r="53" spans="1:10" ht="55.5" customHeight="1">
      <c r="A53" s="308"/>
      <c r="B53" s="308"/>
      <c r="C53" s="308"/>
      <c r="D53" s="305"/>
      <c r="E53" s="19" t="s">
        <v>1</v>
      </c>
      <c r="F53" s="76">
        <v>2020</v>
      </c>
      <c r="G53" s="77">
        <v>196893</v>
      </c>
      <c r="H53" s="78"/>
      <c r="I53" s="77">
        <v>196893</v>
      </c>
      <c r="J53" s="78">
        <v>100</v>
      </c>
    </row>
    <row r="54" spans="1:10" ht="56.25" customHeight="1">
      <c r="A54" s="309"/>
      <c r="B54" s="309"/>
      <c r="C54" s="309"/>
      <c r="D54" s="265"/>
      <c r="E54" s="79" t="s">
        <v>7</v>
      </c>
      <c r="F54" s="76">
        <v>2020</v>
      </c>
      <c r="G54" s="77">
        <v>46925</v>
      </c>
      <c r="H54" s="78"/>
      <c r="I54" s="77">
        <v>46925</v>
      </c>
      <c r="J54" s="78">
        <v>100</v>
      </c>
    </row>
    <row r="55" spans="1:10" ht="17.25">
      <c r="A55" s="80" t="s">
        <v>42</v>
      </c>
      <c r="B55" s="80" t="s">
        <v>42</v>
      </c>
      <c r="C55" s="80" t="s">
        <v>42</v>
      </c>
      <c r="D55" s="80" t="s">
        <v>54</v>
      </c>
      <c r="E55" s="80" t="s">
        <v>42</v>
      </c>
      <c r="F55" s="80" t="s">
        <v>42</v>
      </c>
      <c r="G55" s="80" t="s">
        <v>42</v>
      </c>
      <c r="H55" s="80"/>
      <c r="I55" s="80">
        <f>I17+I27+I31+I35+I39</f>
        <v>13219872</v>
      </c>
      <c r="J55" s="80" t="s">
        <v>42</v>
      </c>
    </row>
    <row r="59" spans="2:10" ht="18">
      <c r="B59" s="39" t="s">
        <v>573</v>
      </c>
      <c r="C59" s="39"/>
      <c r="D59" s="39"/>
      <c r="E59" s="81"/>
      <c r="H59" s="39" t="s">
        <v>574</v>
      </c>
      <c r="I59" s="81"/>
      <c r="J59" s="81"/>
    </row>
  </sheetData>
  <sheetProtection/>
  <mergeCells count="27">
    <mergeCell ref="J11:J15"/>
    <mergeCell ref="A24:A26"/>
    <mergeCell ref="H11:H15"/>
    <mergeCell ref="A46:A54"/>
    <mergeCell ref="A41:A45"/>
    <mergeCell ref="F11:F15"/>
    <mergeCell ref="B41:B45"/>
    <mergeCell ref="C41:C45"/>
    <mergeCell ref="D24:D26"/>
    <mergeCell ref="B46:B54"/>
    <mergeCell ref="I11:I15"/>
    <mergeCell ref="E11:E15"/>
    <mergeCell ref="G11:G15"/>
    <mergeCell ref="D41:D45"/>
    <mergeCell ref="C24:C26"/>
    <mergeCell ref="A6:J7"/>
    <mergeCell ref="A11:A15"/>
    <mergeCell ref="B11:B15"/>
    <mergeCell ref="C11:C15"/>
    <mergeCell ref="D11:D15"/>
    <mergeCell ref="A19:A23"/>
    <mergeCell ref="B19:B23"/>
    <mergeCell ref="C19:C23"/>
    <mergeCell ref="D19:D23"/>
    <mergeCell ref="D46:D54"/>
    <mergeCell ref="C46:C54"/>
    <mergeCell ref="B24:B26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86" zoomScaleNormal="86" zoomScalePageLayoutView="0" workbookViewId="0" topLeftCell="E1">
      <selection activeCell="A6" sqref="A6:J6"/>
    </sheetView>
  </sheetViews>
  <sheetFormatPr defaultColWidth="9.125" defaultRowHeight="12.75"/>
  <cols>
    <col min="1" max="1" width="15.00390625" style="25" customWidth="1"/>
    <col min="2" max="2" width="14.375" style="25" customWidth="1"/>
    <col min="3" max="3" width="14.875" style="25" customWidth="1"/>
    <col min="4" max="4" width="59.125" style="25" customWidth="1"/>
    <col min="5" max="5" width="50.375" style="25" bestFit="1" customWidth="1"/>
    <col min="6" max="6" width="18.50390625" style="32" customWidth="1"/>
    <col min="7" max="7" width="19.50390625" style="25" bestFit="1" customWidth="1"/>
    <col min="8" max="8" width="18.125" style="25" bestFit="1" customWidth="1"/>
    <col min="9" max="9" width="19.875" style="25" bestFit="1" customWidth="1"/>
    <col min="10" max="10" width="18.125" style="25" bestFit="1" customWidth="1"/>
    <col min="11" max="16384" width="9.125" style="25" customWidth="1"/>
  </cols>
  <sheetData>
    <row r="1" spans="9:10" ht="18">
      <c r="I1" s="39" t="s">
        <v>538</v>
      </c>
      <c r="J1" s="13"/>
    </row>
    <row r="2" spans="9:11" ht="18">
      <c r="I2" s="120" t="s">
        <v>571</v>
      </c>
      <c r="J2" s="121"/>
      <c r="K2"/>
    </row>
    <row r="3" spans="9:11" ht="18">
      <c r="I3" s="39" t="s">
        <v>575</v>
      </c>
      <c r="J3" s="13"/>
      <c r="K3"/>
    </row>
    <row r="4" spans="9:11" ht="18">
      <c r="I4" s="39" t="s">
        <v>580</v>
      </c>
      <c r="J4" s="13"/>
      <c r="K4"/>
    </row>
    <row r="5" spans="9:10" ht="15">
      <c r="I5"/>
      <c r="J5"/>
    </row>
    <row r="6" spans="1:10" ht="20.25">
      <c r="A6" s="341" t="s">
        <v>480</v>
      </c>
      <c r="B6" s="341"/>
      <c r="C6" s="341"/>
      <c r="D6" s="341"/>
      <c r="E6" s="341"/>
      <c r="F6" s="341"/>
      <c r="G6" s="341"/>
      <c r="H6" s="341"/>
      <c r="I6" s="341"/>
      <c r="J6" s="341"/>
    </row>
    <row r="7" ht="15">
      <c r="A7" s="32">
        <v>21528000000</v>
      </c>
    </row>
    <row r="8" ht="15">
      <c r="A8" s="45" t="s">
        <v>58</v>
      </c>
    </row>
    <row r="9" ht="15">
      <c r="J9" s="32" t="s">
        <v>35</v>
      </c>
    </row>
    <row r="10" spans="1:10" s="46" customFormat="1" ht="41.25" customHeight="1">
      <c r="A10" s="336" t="s">
        <v>60</v>
      </c>
      <c r="B10" s="336" t="s">
        <v>61</v>
      </c>
      <c r="C10" s="336" t="s">
        <v>47</v>
      </c>
      <c r="D10" s="336" t="s">
        <v>70</v>
      </c>
      <c r="E10" s="336" t="s">
        <v>71</v>
      </c>
      <c r="F10" s="336" t="s">
        <v>57</v>
      </c>
      <c r="G10" s="336" t="s">
        <v>37</v>
      </c>
      <c r="H10" s="336" t="s">
        <v>38</v>
      </c>
      <c r="I10" s="336" t="s">
        <v>39</v>
      </c>
      <c r="J10" s="336"/>
    </row>
    <row r="11" spans="1:10" s="46" customFormat="1" ht="9.75" customHeight="1" hidden="1" thickBot="1">
      <c r="A11" s="336"/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0" s="46" customFormat="1" ht="15" hidden="1">
      <c r="A12" s="336"/>
      <c r="B12" s="336"/>
      <c r="C12" s="336"/>
      <c r="D12" s="336"/>
      <c r="E12" s="336"/>
      <c r="F12" s="336"/>
      <c r="G12" s="336"/>
      <c r="H12" s="336"/>
      <c r="I12" s="336"/>
      <c r="J12" s="336"/>
    </row>
    <row r="13" spans="1:10" s="46" customFormat="1" ht="9.75" customHeight="1" hidden="1" thickBot="1">
      <c r="A13" s="336"/>
      <c r="B13" s="336"/>
      <c r="C13" s="336"/>
      <c r="D13" s="336"/>
      <c r="E13" s="336"/>
      <c r="F13" s="336"/>
      <c r="G13" s="336"/>
      <c r="H13" s="336"/>
      <c r="I13" s="336"/>
      <c r="J13" s="336"/>
    </row>
    <row r="14" spans="1:10" s="46" customFormat="1" ht="15" hidden="1">
      <c r="A14" s="336"/>
      <c r="B14" s="336"/>
      <c r="C14" s="336"/>
      <c r="D14" s="336"/>
      <c r="E14" s="336"/>
      <c r="F14" s="336"/>
      <c r="G14" s="336"/>
      <c r="H14" s="336"/>
      <c r="I14" s="336"/>
      <c r="J14" s="336"/>
    </row>
    <row r="15" spans="1:10" s="46" customFormat="1" ht="51" customHeight="1">
      <c r="A15" s="336"/>
      <c r="B15" s="336"/>
      <c r="C15" s="336"/>
      <c r="D15" s="336"/>
      <c r="E15" s="336"/>
      <c r="F15" s="336"/>
      <c r="G15" s="336"/>
      <c r="H15" s="336"/>
      <c r="I15" s="336" t="s">
        <v>40</v>
      </c>
      <c r="J15" s="336" t="s">
        <v>41</v>
      </c>
    </row>
    <row r="16" spans="1:10" s="46" customFormat="1" ht="99.75" customHeight="1">
      <c r="A16" s="336"/>
      <c r="B16" s="336"/>
      <c r="C16" s="336"/>
      <c r="D16" s="336"/>
      <c r="E16" s="336"/>
      <c r="F16" s="336"/>
      <c r="G16" s="336"/>
      <c r="H16" s="336"/>
      <c r="I16" s="336"/>
      <c r="J16" s="336"/>
    </row>
    <row r="17" spans="1:10" ht="1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</row>
    <row r="18" spans="1:10" ht="15">
      <c r="A18" s="47" t="s">
        <v>72</v>
      </c>
      <c r="B18" s="47"/>
      <c r="C18" s="47"/>
      <c r="D18" s="48" t="s">
        <v>73</v>
      </c>
      <c r="E18" s="35"/>
      <c r="F18" s="35"/>
      <c r="G18" s="87">
        <f>G19</f>
        <v>103350199</v>
      </c>
      <c r="H18" s="87">
        <f>H19</f>
        <v>72529721</v>
      </c>
      <c r="I18" s="87">
        <f>I19</f>
        <v>30820478</v>
      </c>
      <c r="J18" s="87">
        <f>J19</f>
        <v>29838520</v>
      </c>
    </row>
    <row r="19" spans="1:10" ht="15">
      <c r="A19" s="47" t="s">
        <v>74</v>
      </c>
      <c r="B19" s="47"/>
      <c r="C19" s="47"/>
      <c r="D19" s="48" t="s">
        <v>73</v>
      </c>
      <c r="E19" s="35"/>
      <c r="F19" s="35"/>
      <c r="G19" s="87">
        <f>SUM(G20:G62)</f>
        <v>103350199</v>
      </c>
      <c r="H19" s="87">
        <f>SUM(H20:H62)</f>
        <v>72529721</v>
      </c>
      <c r="I19" s="87">
        <f>SUM(I20:I62)</f>
        <v>30820478</v>
      </c>
      <c r="J19" s="87">
        <f>SUM(J20:J62)</f>
        <v>29838520</v>
      </c>
    </row>
    <row r="20" spans="1:10" ht="78">
      <c r="A20" s="50" t="s">
        <v>75</v>
      </c>
      <c r="B20" s="50" t="s">
        <v>76</v>
      </c>
      <c r="C20" s="50" t="s">
        <v>77</v>
      </c>
      <c r="D20" s="42" t="s">
        <v>78</v>
      </c>
      <c r="E20" s="42" t="s">
        <v>181</v>
      </c>
      <c r="F20" s="63" t="s">
        <v>553</v>
      </c>
      <c r="G20" s="85">
        <f>H20+I20</f>
        <v>580481</v>
      </c>
      <c r="H20" s="85">
        <f>198326+201505</f>
        <v>399831</v>
      </c>
      <c r="I20" s="85">
        <f>J20</f>
        <v>180650</v>
      </c>
      <c r="J20" s="85">
        <v>180650</v>
      </c>
    </row>
    <row r="21" spans="1:10" ht="78">
      <c r="A21" s="50" t="s">
        <v>82</v>
      </c>
      <c r="B21" s="64" t="s">
        <v>83</v>
      </c>
      <c r="C21" s="52" t="s">
        <v>84</v>
      </c>
      <c r="D21" s="42" t="s">
        <v>168</v>
      </c>
      <c r="E21" s="40" t="s">
        <v>178</v>
      </c>
      <c r="F21" s="63" t="s">
        <v>441</v>
      </c>
      <c r="G21" s="85">
        <f>H21+I21</f>
        <v>815115</v>
      </c>
      <c r="H21" s="85">
        <v>759115</v>
      </c>
      <c r="I21" s="85">
        <v>56000</v>
      </c>
      <c r="J21" s="85"/>
    </row>
    <row r="22" spans="1:10" ht="111.75" customHeight="1">
      <c r="A22" s="337" t="s">
        <v>87</v>
      </c>
      <c r="B22" s="346" t="s">
        <v>88</v>
      </c>
      <c r="C22" s="337" t="s">
        <v>89</v>
      </c>
      <c r="D22" s="330" t="s">
        <v>90</v>
      </c>
      <c r="E22" s="49" t="s">
        <v>169</v>
      </c>
      <c r="F22" s="43" t="s">
        <v>447</v>
      </c>
      <c r="G22" s="85">
        <f>H22+I22</f>
        <v>6608170</v>
      </c>
      <c r="H22" s="86">
        <f>5556832+183938</f>
        <v>5740770</v>
      </c>
      <c r="I22" s="85">
        <f>J22</f>
        <v>867400</v>
      </c>
      <c r="J22" s="85">
        <f>767500+99900</f>
        <v>867400</v>
      </c>
    </row>
    <row r="23" spans="1:10" ht="96" customHeight="1">
      <c r="A23" s="337"/>
      <c r="B23" s="346"/>
      <c r="C23" s="337"/>
      <c r="D23" s="330"/>
      <c r="E23" s="49" t="s">
        <v>442</v>
      </c>
      <c r="F23" s="63" t="s">
        <v>443</v>
      </c>
      <c r="G23" s="85">
        <f>H23+I23</f>
        <v>10257982</v>
      </c>
      <c r="H23" s="86">
        <f>4432232+1098750</f>
        <v>5530982</v>
      </c>
      <c r="I23" s="85">
        <f>J23</f>
        <v>4727000</v>
      </c>
      <c r="J23" s="85">
        <f>4727000</f>
        <v>4727000</v>
      </c>
    </row>
    <row r="24" spans="1:10" ht="96" customHeight="1">
      <c r="A24" s="50" t="s">
        <v>99</v>
      </c>
      <c r="B24" s="50" t="s">
        <v>100</v>
      </c>
      <c r="C24" s="50" t="s">
        <v>101</v>
      </c>
      <c r="D24" s="40" t="s">
        <v>102</v>
      </c>
      <c r="E24" s="49" t="s">
        <v>9</v>
      </c>
      <c r="F24" s="63" t="s">
        <v>444</v>
      </c>
      <c r="G24" s="85">
        <f aca="true" t="shared" si="0" ref="G24:G62">H24+I24</f>
        <v>926844</v>
      </c>
      <c r="H24" s="86">
        <f>820783+58061</f>
        <v>878844</v>
      </c>
      <c r="I24" s="85">
        <f>J24</f>
        <v>48000</v>
      </c>
      <c r="J24" s="85">
        <f>48000</f>
        <v>48000</v>
      </c>
    </row>
    <row r="25" spans="1:10" ht="93">
      <c r="A25" s="319" t="s">
        <v>95</v>
      </c>
      <c r="B25" s="320">
        <v>2152</v>
      </c>
      <c r="C25" s="306" t="s">
        <v>97</v>
      </c>
      <c r="D25" s="303" t="s">
        <v>98</v>
      </c>
      <c r="E25" s="49" t="s">
        <v>10</v>
      </c>
      <c r="F25" s="43" t="s">
        <v>570</v>
      </c>
      <c r="G25" s="85">
        <f t="shared" si="0"/>
        <v>199000</v>
      </c>
      <c r="H25" s="85">
        <v>199000</v>
      </c>
      <c r="I25" s="85"/>
      <c r="J25" s="85"/>
    </row>
    <row r="26" spans="1:10" ht="78">
      <c r="A26" s="319"/>
      <c r="B26" s="320"/>
      <c r="C26" s="307"/>
      <c r="D26" s="304"/>
      <c r="E26" s="49" t="s">
        <v>558</v>
      </c>
      <c r="F26" s="43" t="s">
        <v>552</v>
      </c>
      <c r="G26" s="85">
        <f>H26+I26</f>
        <v>80000</v>
      </c>
      <c r="H26" s="85">
        <v>80000</v>
      </c>
      <c r="I26" s="85"/>
      <c r="J26" s="85"/>
    </row>
    <row r="27" spans="1:10" ht="93">
      <c r="A27" s="319"/>
      <c r="B27" s="320"/>
      <c r="C27" s="307"/>
      <c r="D27" s="304"/>
      <c r="E27" s="49" t="s">
        <v>557</v>
      </c>
      <c r="F27" s="43" t="s">
        <v>551</v>
      </c>
      <c r="G27" s="85">
        <f>H27+I27</f>
        <v>100000</v>
      </c>
      <c r="H27" s="85">
        <v>100000</v>
      </c>
      <c r="I27" s="85"/>
      <c r="J27" s="85"/>
    </row>
    <row r="28" spans="1:10" ht="78">
      <c r="A28" s="319"/>
      <c r="B28" s="320"/>
      <c r="C28" s="273"/>
      <c r="D28" s="288"/>
      <c r="E28" s="49" t="s">
        <v>11</v>
      </c>
      <c r="F28" s="63" t="s">
        <v>445</v>
      </c>
      <c r="G28" s="85">
        <f t="shared" si="0"/>
        <v>4277980</v>
      </c>
      <c r="H28" s="85">
        <f>4654600-476620+100000</f>
        <v>4277980</v>
      </c>
      <c r="I28" s="85"/>
      <c r="J28" s="85"/>
    </row>
    <row r="29" spans="1:10" ht="110.25" customHeight="1">
      <c r="A29" s="319"/>
      <c r="B29" s="320"/>
      <c r="C29" s="274"/>
      <c r="D29" s="289"/>
      <c r="E29" s="49" t="s">
        <v>170</v>
      </c>
      <c r="F29" s="43" t="s">
        <v>550</v>
      </c>
      <c r="G29" s="85">
        <f t="shared" si="0"/>
        <v>1478500</v>
      </c>
      <c r="H29" s="85">
        <f>1356000+122500</f>
        <v>1478500</v>
      </c>
      <c r="I29" s="85"/>
      <c r="J29" s="85"/>
    </row>
    <row r="30" spans="1:10" ht="106.5" customHeight="1">
      <c r="A30" s="50" t="s">
        <v>105</v>
      </c>
      <c r="B30" s="53">
        <v>3112</v>
      </c>
      <c r="C30" s="52" t="s">
        <v>107</v>
      </c>
      <c r="D30" s="40" t="s">
        <v>108</v>
      </c>
      <c r="E30" s="41" t="s">
        <v>12</v>
      </c>
      <c r="F30" s="63" t="s">
        <v>446</v>
      </c>
      <c r="G30" s="85">
        <f t="shared" si="0"/>
        <v>5000</v>
      </c>
      <c r="H30" s="85">
        <v>5000</v>
      </c>
      <c r="I30" s="85"/>
      <c r="J30" s="85"/>
    </row>
    <row r="31" spans="1:10" ht="78">
      <c r="A31" s="50" t="s">
        <v>109</v>
      </c>
      <c r="B31" s="50" t="s">
        <v>110</v>
      </c>
      <c r="C31" s="50" t="s">
        <v>111</v>
      </c>
      <c r="D31" s="40" t="s">
        <v>112</v>
      </c>
      <c r="E31" s="49" t="s">
        <v>10</v>
      </c>
      <c r="F31" s="43" t="s">
        <v>448</v>
      </c>
      <c r="G31" s="85">
        <f t="shared" si="0"/>
        <v>126000</v>
      </c>
      <c r="H31" s="85">
        <f>94000+32000</f>
        <v>126000</v>
      </c>
      <c r="I31" s="85"/>
      <c r="J31" s="85"/>
    </row>
    <row r="32" spans="1:10" ht="78">
      <c r="A32" s="50" t="s">
        <v>516</v>
      </c>
      <c r="B32" s="50" t="s">
        <v>505</v>
      </c>
      <c r="C32" s="50" t="s">
        <v>506</v>
      </c>
      <c r="D32" s="40" t="s">
        <v>507</v>
      </c>
      <c r="E32" s="211" t="s">
        <v>545</v>
      </c>
      <c r="F32" s="43" t="s">
        <v>546</v>
      </c>
      <c r="G32" s="85">
        <f>H32+I32</f>
        <v>89320</v>
      </c>
      <c r="H32" s="85">
        <v>89320</v>
      </c>
      <c r="I32" s="85"/>
      <c r="J32" s="85"/>
    </row>
    <row r="33" spans="1:10" ht="78">
      <c r="A33" s="50" t="s">
        <v>113</v>
      </c>
      <c r="B33" s="50" t="s">
        <v>114</v>
      </c>
      <c r="C33" s="50" t="s">
        <v>115</v>
      </c>
      <c r="D33" s="40" t="s">
        <v>171</v>
      </c>
      <c r="E33" s="49" t="s">
        <v>10</v>
      </c>
      <c r="F33" s="43" t="s">
        <v>448</v>
      </c>
      <c r="G33" s="85">
        <f t="shared" si="0"/>
        <v>800000</v>
      </c>
      <c r="H33" s="85">
        <v>800000</v>
      </c>
      <c r="I33" s="85"/>
      <c r="J33" s="85"/>
    </row>
    <row r="34" spans="1:10" ht="100.5" customHeight="1">
      <c r="A34" s="191" t="s">
        <v>117</v>
      </c>
      <c r="B34" s="191" t="s">
        <v>118</v>
      </c>
      <c r="C34" s="191" t="s">
        <v>119</v>
      </c>
      <c r="D34" s="192" t="s">
        <v>120</v>
      </c>
      <c r="E34" s="42" t="s">
        <v>179</v>
      </c>
      <c r="F34" s="43" t="s">
        <v>483</v>
      </c>
      <c r="G34" s="85">
        <f>H34+I34</f>
        <v>253522</v>
      </c>
      <c r="H34" s="85">
        <v>253522</v>
      </c>
      <c r="I34" s="85"/>
      <c r="J34" s="85"/>
    </row>
    <row r="35" spans="1:10" ht="93">
      <c r="A35" s="50" t="s">
        <v>121</v>
      </c>
      <c r="B35" s="50" t="s">
        <v>122</v>
      </c>
      <c r="C35" s="50" t="s">
        <v>119</v>
      </c>
      <c r="D35" s="40" t="s">
        <v>123</v>
      </c>
      <c r="E35" s="42" t="s">
        <v>179</v>
      </c>
      <c r="F35" s="43" t="s">
        <v>483</v>
      </c>
      <c r="G35" s="85">
        <f t="shared" si="0"/>
        <v>1184800</v>
      </c>
      <c r="H35" s="85">
        <v>1184800</v>
      </c>
      <c r="I35" s="85"/>
      <c r="J35" s="85"/>
    </row>
    <row r="36" spans="1:10" ht="109.5" customHeight="1">
      <c r="A36" s="50" t="s">
        <v>124</v>
      </c>
      <c r="B36" s="50" t="s">
        <v>125</v>
      </c>
      <c r="C36" s="50" t="s">
        <v>119</v>
      </c>
      <c r="D36" s="40" t="s">
        <v>172</v>
      </c>
      <c r="E36" s="41" t="s">
        <v>173</v>
      </c>
      <c r="F36" s="44" t="s">
        <v>439</v>
      </c>
      <c r="G36" s="85">
        <f t="shared" si="0"/>
        <v>2000000</v>
      </c>
      <c r="H36" s="85">
        <v>2000000</v>
      </c>
      <c r="I36" s="85"/>
      <c r="J36" s="85"/>
    </row>
    <row r="37" spans="1:10" ht="110.25" customHeight="1">
      <c r="A37" s="50" t="s">
        <v>127</v>
      </c>
      <c r="B37" s="50" t="s">
        <v>128</v>
      </c>
      <c r="C37" s="50" t="s">
        <v>119</v>
      </c>
      <c r="D37" s="40" t="s">
        <v>129</v>
      </c>
      <c r="E37" s="42" t="s">
        <v>179</v>
      </c>
      <c r="F37" s="43" t="s">
        <v>483</v>
      </c>
      <c r="G37" s="85">
        <f t="shared" si="0"/>
        <v>1173268</v>
      </c>
      <c r="H37" s="85">
        <f>300000+400000+473268</f>
        <v>1173268</v>
      </c>
      <c r="I37" s="85"/>
      <c r="J37" s="85"/>
    </row>
    <row r="38" spans="1:10" ht="115.5" customHeight="1">
      <c r="A38" s="50" t="s">
        <v>130</v>
      </c>
      <c r="B38" s="52" t="s">
        <v>131</v>
      </c>
      <c r="C38" s="52" t="s">
        <v>119</v>
      </c>
      <c r="D38" s="40" t="s">
        <v>132</v>
      </c>
      <c r="E38" s="41" t="s">
        <v>173</v>
      </c>
      <c r="F38" s="44" t="s">
        <v>439</v>
      </c>
      <c r="G38" s="85">
        <f t="shared" si="0"/>
        <v>31117320</v>
      </c>
      <c r="H38" s="85">
        <f>31117320</f>
        <v>31117320</v>
      </c>
      <c r="I38" s="85"/>
      <c r="J38" s="85"/>
    </row>
    <row r="39" spans="1:10" ht="103.5" customHeight="1">
      <c r="A39" s="50" t="s">
        <v>524</v>
      </c>
      <c r="B39" s="50" t="s">
        <v>525</v>
      </c>
      <c r="C39" s="50" t="s">
        <v>133</v>
      </c>
      <c r="D39" s="213" t="s">
        <v>526</v>
      </c>
      <c r="E39" s="42" t="s">
        <v>179</v>
      </c>
      <c r="F39" s="43" t="s">
        <v>483</v>
      </c>
      <c r="G39" s="85">
        <f t="shared" si="0"/>
        <v>1030968</v>
      </c>
      <c r="H39" s="85">
        <v>1030968</v>
      </c>
      <c r="I39" s="85"/>
      <c r="J39" s="85"/>
    </row>
    <row r="40" spans="1:10" ht="93.75" customHeight="1">
      <c r="A40" s="319" t="s">
        <v>134</v>
      </c>
      <c r="B40" s="319" t="s">
        <v>135</v>
      </c>
      <c r="C40" s="319" t="s">
        <v>133</v>
      </c>
      <c r="D40" s="339" t="s">
        <v>136</v>
      </c>
      <c r="E40" s="49" t="s">
        <v>10</v>
      </c>
      <c r="F40" s="43" t="s">
        <v>570</v>
      </c>
      <c r="G40" s="85">
        <f t="shared" si="0"/>
        <v>49500</v>
      </c>
      <c r="H40" s="85">
        <v>49500</v>
      </c>
      <c r="I40" s="85"/>
      <c r="J40" s="85"/>
    </row>
    <row r="41" spans="1:10" ht="106.5" customHeight="1">
      <c r="A41" s="320"/>
      <c r="B41" s="320"/>
      <c r="C41" s="320"/>
      <c r="D41" s="330"/>
      <c r="E41" s="41" t="s">
        <v>173</v>
      </c>
      <c r="F41" s="44" t="s">
        <v>439</v>
      </c>
      <c r="G41" s="85">
        <f t="shared" si="0"/>
        <v>150000</v>
      </c>
      <c r="H41" s="85">
        <v>150000</v>
      </c>
      <c r="I41" s="85"/>
      <c r="J41" s="85"/>
    </row>
    <row r="42" spans="1:10" ht="78">
      <c r="A42" s="50" t="s">
        <v>137</v>
      </c>
      <c r="B42" s="50" t="s">
        <v>138</v>
      </c>
      <c r="C42" s="50" t="s">
        <v>139</v>
      </c>
      <c r="D42" s="54" t="s">
        <v>174</v>
      </c>
      <c r="E42" s="41" t="s">
        <v>180</v>
      </c>
      <c r="F42" s="43" t="s">
        <v>450</v>
      </c>
      <c r="G42" s="85">
        <f t="shared" si="0"/>
        <v>100000</v>
      </c>
      <c r="H42" s="85">
        <v>100000</v>
      </c>
      <c r="I42" s="85"/>
      <c r="J42" s="85"/>
    </row>
    <row r="43" spans="1:10" ht="78">
      <c r="A43" s="331" t="s">
        <v>482</v>
      </c>
      <c r="B43" s="331" t="s">
        <v>377</v>
      </c>
      <c r="C43" s="331" t="s">
        <v>141</v>
      </c>
      <c r="D43" s="333" t="s">
        <v>378</v>
      </c>
      <c r="E43" s="49" t="s">
        <v>13</v>
      </c>
      <c r="F43" s="44" t="s">
        <v>437</v>
      </c>
      <c r="G43" s="85">
        <f>H43+I43</f>
        <v>2551579</v>
      </c>
      <c r="H43" s="85"/>
      <c r="I43" s="85">
        <f aca="true" t="shared" si="1" ref="I43:I48">J43</f>
        <v>2551579</v>
      </c>
      <c r="J43" s="85">
        <f>1489850+1061729</f>
        <v>2551579</v>
      </c>
    </row>
    <row r="44" spans="1:10" ht="93">
      <c r="A44" s="274"/>
      <c r="B44" s="274"/>
      <c r="C44" s="274"/>
      <c r="D44" s="289"/>
      <c r="E44" s="41" t="s">
        <v>22</v>
      </c>
      <c r="F44" s="44" t="s">
        <v>438</v>
      </c>
      <c r="G44" s="85">
        <f>H44+I44</f>
        <v>401229</v>
      </c>
      <c r="H44" s="85"/>
      <c r="I44" s="85">
        <f t="shared" si="1"/>
        <v>401229</v>
      </c>
      <c r="J44" s="85">
        <f>401229</f>
        <v>401229</v>
      </c>
    </row>
    <row r="45" spans="1:10" ht="93">
      <c r="A45" s="50" t="s">
        <v>521</v>
      </c>
      <c r="B45" s="50" t="s">
        <v>522</v>
      </c>
      <c r="C45" s="50" t="s">
        <v>141</v>
      </c>
      <c r="D45" s="40" t="s">
        <v>523</v>
      </c>
      <c r="E45" s="49" t="s">
        <v>169</v>
      </c>
      <c r="F45" s="43" t="s">
        <v>447</v>
      </c>
      <c r="G45" s="85">
        <f>H45+I45</f>
        <v>1110133</v>
      </c>
      <c r="H45" s="85"/>
      <c r="I45" s="85">
        <f t="shared" si="1"/>
        <v>1110133</v>
      </c>
      <c r="J45" s="85">
        <f>182560+682318+245255</f>
        <v>1110133</v>
      </c>
    </row>
    <row r="46" spans="1:10" ht="78">
      <c r="A46" s="331" t="s">
        <v>460</v>
      </c>
      <c r="B46" s="331" t="s">
        <v>319</v>
      </c>
      <c r="C46" s="331" t="s">
        <v>141</v>
      </c>
      <c r="D46" s="333" t="s">
        <v>461</v>
      </c>
      <c r="E46" s="49" t="s">
        <v>13</v>
      </c>
      <c r="F46" s="44" t="s">
        <v>437</v>
      </c>
      <c r="G46" s="85">
        <f>H46+I46</f>
        <v>1877815</v>
      </c>
      <c r="H46" s="85"/>
      <c r="I46" s="85">
        <f t="shared" si="1"/>
        <v>1877815</v>
      </c>
      <c r="J46" s="85">
        <f>578509+138312+53021+747973+300000+60000</f>
        <v>1877815</v>
      </c>
    </row>
    <row r="47" spans="1:10" ht="99" customHeight="1">
      <c r="A47" s="274"/>
      <c r="B47" s="274"/>
      <c r="C47" s="274"/>
      <c r="D47" s="289"/>
      <c r="E47" s="41" t="s">
        <v>173</v>
      </c>
      <c r="F47" s="44" t="s">
        <v>439</v>
      </c>
      <c r="G47" s="85">
        <f>H47+I47</f>
        <v>1035724</v>
      </c>
      <c r="H47" s="85"/>
      <c r="I47" s="85">
        <f t="shared" si="1"/>
        <v>1035724</v>
      </c>
      <c r="J47" s="85">
        <f>1035724</f>
        <v>1035724</v>
      </c>
    </row>
    <row r="48" spans="1:10" ht="78">
      <c r="A48" s="50" t="s">
        <v>391</v>
      </c>
      <c r="B48" s="50" t="s">
        <v>389</v>
      </c>
      <c r="C48" s="50" t="s">
        <v>142</v>
      </c>
      <c r="D48" s="42" t="s">
        <v>390</v>
      </c>
      <c r="E48" s="49" t="s">
        <v>13</v>
      </c>
      <c r="F48" s="44" t="s">
        <v>437</v>
      </c>
      <c r="G48" s="85">
        <f t="shared" si="0"/>
        <v>2711044</v>
      </c>
      <c r="H48" s="85"/>
      <c r="I48" s="85">
        <f t="shared" si="1"/>
        <v>2711044</v>
      </c>
      <c r="J48" s="85">
        <f>2711044</f>
        <v>2711044</v>
      </c>
    </row>
    <row r="49" spans="1:10" ht="78">
      <c r="A49" s="50" t="s">
        <v>517</v>
      </c>
      <c r="B49" s="50" t="s">
        <v>518</v>
      </c>
      <c r="C49" s="50" t="s">
        <v>519</v>
      </c>
      <c r="D49" s="40" t="s">
        <v>520</v>
      </c>
      <c r="E49" s="49" t="s">
        <v>556</v>
      </c>
      <c r="F49" s="44" t="s">
        <v>549</v>
      </c>
      <c r="G49" s="85">
        <f>H49+I49</f>
        <v>187310</v>
      </c>
      <c r="H49" s="85">
        <v>187310</v>
      </c>
      <c r="I49" s="85"/>
      <c r="J49" s="85"/>
    </row>
    <row r="50" spans="1:10" ht="93">
      <c r="A50" s="50" t="s">
        <v>143</v>
      </c>
      <c r="B50" s="50" t="s">
        <v>144</v>
      </c>
      <c r="C50" s="50" t="s">
        <v>145</v>
      </c>
      <c r="D50" s="40" t="s">
        <v>146</v>
      </c>
      <c r="E50" s="41" t="s">
        <v>173</v>
      </c>
      <c r="F50" s="44" t="s">
        <v>439</v>
      </c>
      <c r="G50" s="85">
        <f t="shared" si="0"/>
        <v>7500000</v>
      </c>
      <c r="H50" s="85">
        <v>7500000</v>
      </c>
      <c r="I50" s="85"/>
      <c r="J50" s="85"/>
    </row>
    <row r="51" spans="1:10" ht="93">
      <c r="A51" s="50" t="s">
        <v>392</v>
      </c>
      <c r="B51" s="50" t="s">
        <v>393</v>
      </c>
      <c r="C51" s="50" t="s">
        <v>142</v>
      </c>
      <c r="D51" s="55" t="s">
        <v>394</v>
      </c>
      <c r="E51" s="42" t="s">
        <v>179</v>
      </c>
      <c r="F51" s="43" t="s">
        <v>483</v>
      </c>
      <c r="G51" s="85">
        <f t="shared" si="0"/>
        <v>14327946</v>
      </c>
      <c r="H51" s="85"/>
      <c r="I51" s="85">
        <f>J51</f>
        <v>14327946</v>
      </c>
      <c r="J51" s="85">
        <f>13750000+512640+65306</f>
        <v>14327946</v>
      </c>
    </row>
    <row r="52" spans="1:10" ht="78">
      <c r="A52" s="50" t="s">
        <v>147</v>
      </c>
      <c r="B52" s="50" t="s">
        <v>148</v>
      </c>
      <c r="C52" s="50" t="s">
        <v>142</v>
      </c>
      <c r="D52" s="42" t="s">
        <v>149</v>
      </c>
      <c r="E52" s="42" t="s">
        <v>183</v>
      </c>
      <c r="F52" s="63" t="s">
        <v>481</v>
      </c>
      <c r="G52" s="85">
        <f t="shared" si="0"/>
        <v>25325</v>
      </c>
      <c r="H52" s="85">
        <v>25325</v>
      </c>
      <c r="I52" s="85"/>
      <c r="J52" s="85"/>
    </row>
    <row r="53" spans="1:10" ht="93">
      <c r="A53" s="319" t="s">
        <v>150</v>
      </c>
      <c r="B53" s="319" t="s">
        <v>151</v>
      </c>
      <c r="C53" s="319" t="s">
        <v>142</v>
      </c>
      <c r="D53" s="340" t="s">
        <v>152</v>
      </c>
      <c r="E53" s="42" t="s">
        <v>181</v>
      </c>
      <c r="F53" s="63" t="s">
        <v>540</v>
      </c>
      <c r="G53" s="85">
        <f t="shared" si="0"/>
        <v>1777747</v>
      </c>
      <c r="H53" s="85">
        <f>14000+36000+28618+840000+31340+98700+38420+400000+17669+195000+78000</f>
        <v>1777747</v>
      </c>
      <c r="I53" s="85"/>
      <c r="J53" s="85"/>
    </row>
    <row r="54" spans="1:10" ht="78">
      <c r="A54" s="319"/>
      <c r="B54" s="319"/>
      <c r="C54" s="319"/>
      <c r="D54" s="340"/>
      <c r="E54" s="40" t="s">
        <v>176</v>
      </c>
      <c r="F54" s="44" t="s">
        <v>14</v>
      </c>
      <c r="G54" s="85">
        <f t="shared" si="0"/>
        <v>6000</v>
      </c>
      <c r="H54" s="85">
        <v>6000</v>
      </c>
      <c r="I54" s="85"/>
      <c r="J54" s="85"/>
    </row>
    <row r="55" spans="1:10" ht="78">
      <c r="A55" s="320"/>
      <c r="B55" s="320"/>
      <c r="C55" s="320"/>
      <c r="D55" s="328"/>
      <c r="E55" s="42" t="s">
        <v>182</v>
      </c>
      <c r="F55" s="43" t="s">
        <v>451</v>
      </c>
      <c r="G55" s="85">
        <f t="shared" si="0"/>
        <v>300000</v>
      </c>
      <c r="H55" s="85">
        <v>300000</v>
      </c>
      <c r="I55" s="85"/>
      <c r="J55" s="85"/>
    </row>
    <row r="56" spans="1:10" ht="93">
      <c r="A56" s="320"/>
      <c r="B56" s="320"/>
      <c r="C56" s="320"/>
      <c r="D56" s="328"/>
      <c r="E56" s="42" t="s">
        <v>547</v>
      </c>
      <c r="F56" s="43" t="s">
        <v>548</v>
      </c>
      <c r="G56" s="85">
        <f>H56</f>
        <v>91204</v>
      </c>
      <c r="H56" s="85">
        <f>91204</f>
        <v>91204</v>
      </c>
      <c r="I56" s="85"/>
      <c r="J56" s="85"/>
    </row>
    <row r="57" spans="1:10" ht="93">
      <c r="A57" s="320"/>
      <c r="B57" s="320"/>
      <c r="C57" s="320"/>
      <c r="D57" s="328"/>
      <c r="E57" s="42" t="s">
        <v>179</v>
      </c>
      <c r="F57" s="43" t="s">
        <v>483</v>
      </c>
      <c r="G57" s="85">
        <f t="shared" si="0"/>
        <v>156628</v>
      </c>
      <c r="H57" s="85">
        <f>456628-300000</f>
        <v>156628</v>
      </c>
      <c r="I57" s="85"/>
      <c r="J57" s="85"/>
    </row>
    <row r="58" spans="1:10" ht="85.5" customHeight="1">
      <c r="A58" s="320"/>
      <c r="B58" s="320"/>
      <c r="C58" s="320"/>
      <c r="D58" s="328"/>
      <c r="E58" s="41" t="s">
        <v>175</v>
      </c>
      <c r="F58" s="44" t="s">
        <v>15</v>
      </c>
      <c r="G58" s="85">
        <f t="shared" si="0"/>
        <v>643537</v>
      </c>
      <c r="H58" s="85">
        <f>90000+495127+58410</f>
        <v>643537</v>
      </c>
      <c r="I58" s="85"/>
      <c r="J58" s="85"/>
    </row>
    <row r="59" spans="1:10" ht="78">
      <c r="A59" s="50" t="s">
        <v>153</v>
      </c>
      <c r="B59" s="51">
        <v>8210</v>
      </c>
      <c r="C59" s="50" t="s">
        <v>155</v>
      </c>
      <c r="D59" s="42" t="s">
        <v>156</v>
      </c>
      <c r="E59" s="40" t="s">
        <v>16</v>
      </c>
      <c r="F59" s="43" t="s">
        <v>452</v>
      </c>
      <c r="G59" s="85">
        <f t="shared" si="0"/>
        <v>2497345</v>
      </c>
      <c r="H59" s="85">
        <v>2497345</v>
      </c>
      <c r="I59" s="85"/>
      <c r="J59" s="85"/>
    </row>
    <row r="60" spans="1:10" ht="78">
      <c r="A60" s="50" t="s">
        <v>157</v>
      </c>
      <c r="B60" s="50" t="s">
        <v>158</v>
      </c>
      <c r="C60" s="50" t="s">
        <v>159</v>
      </c>
      <c r="D60" s="40" t="s">
        <v>160</v>
      </c>
      <c r="E60" s="41" t="s">
        <v>177</v>
      </c>
      <c r="F60" s="44" t="s">
        <v>440</v>
      </c>
      <c r="G60" s="85">
        <f t="shared" si="0"/>
        <v>925958</v>
      </c>
      <c r="H60" s="85"/>
      <c r="I60" s="85">
        <f>212000+713958</f>
        <v>925958</v>
      </c>
      <c r="J60" s="85"/>
    </row>
    <row r="61" spans="1:10" ht="78">
      <c r="A61" s="50" t="s">
        <v>161</v>
      </c>
      <c r="B61" s="50" t="s">
        <v>162</v>
      </c>
      <c r="C61" s="50" t="s">
        <v>163</v>
      </c>
      <c r="D61" s="42" t="s">
        <v>164</v>
      </c>
      <c r="E61" s="42" t="s">
        <v>17</v>
      </c>
      <c r="F61" s="43" t="s">
        <v>453</v>
      </c>
      <c r="G61" s="85">
        <f t="shared" si="0"/>
        <v>749450</v>
      </c>
      <c r="H61" s="85">
        <v>749450</v>
      </c>
      <c r="I61" s="85"/>
      <c r="J61" s="85"/>
    </row>
    <row r="62" spans="1:10" ht="99.75" customHeight="1">
      <c r="A62" s="50" t="s">
        <v>165</v>
      </c>
      <c r="B62" s="50" t="s">
        <v>166</v>
      </c>
      <c r="C62" s="50" t="s">
        <v>163</v>
      </c>
      <c r="D62" s="54" t="s">
        <v>167</v>
      </c>
      <c r="E62" s="42" t="s">
        <v>183</v>
      </c>
      <c r="F62" s="63" t="s">
        <v>540</v>
      </c>
      <c r="G62" s="85">
        <f t="shared" si="0"/>
        <v>1070455</v>
      </c>
      <c r="H62" s="85">
        <v>1070455</v>
      </c>
      <c r="I62" s="85"/>
      <c r="J62" s="85"/>
    </row>
    <row r="63" spans="1:10" ht="45.75" customHeight="1">
      <c r="A63" s="47" t="s">
        <v>184</v>
      </c>
      <c r="B63" s="50"/>
      <c r="C63" s="52"/>
      <c r="D63" s="56" t="s">
        <v>221</v>
      </c>
      <c r="E63" s="41"/>
      <c r="F63" s="63"/>
      <c r="G63" s="87">
        <f>G64</f>
        <v>26758243</v>
      </c>
      <c r="H63" s="87">
        <f>H64</f>
        <v>15591677</v>
      </c>
      <c r="I63" s="87">
        <f>I64</f>
        <v>11166566</v>
      </c>
      <c r="J63" s="87">
        <f>J64</f>
        <v>4510852</v>
      </c>
    </row>
    <row r="64" spans="1:10" ht="48.75" customHeight="1">
      <c r="A64" s="47" t="s">
        <v>186</v>
      </c>
      <c r="B64" s="50"/>
      <c r="C64" s="52"/>
      <c r="D64" s="56" t="s">
        <v>221</v>
      </c>
      <c r="E64" s="41"/>
      <c r="F64" s="63"/>
      <c r="G64" s="87">
        <f>H64+I64</f>
        <v>26758243</v>
      </c>
      <c r="H64" s="87">
        <f>SUM(H65:H80)</f>
        <v>15591677</v>
      </c>
      <c r="I64" s="87">
        <f>SUM(I65:I80)</f>
        <v>11166566</v>
      </c>
      <c r="J64" s="87">
        <f>SUM(J65:J80)</f>
        <v>4510852</v>
      </c>
    </row>
    <row r="65" spans="1:10" ht="93">
      <c r="A65" s="50" t="s">
        <v>187</v>
      </c>
      <c r="B65" s="50" t="s">
        <v>188</v>
      </c>
      <c r="C65" s="50" t="s">
        <v>77</v>
      </c>
      <c r="D65" s="40" t="s">
        <v>189</v>
      </c>
      <c r="E65" s="42" t="s">
        <v>183</v>
      </c>
      <c r="F65" s="63" t="s">
        <v>540</v>
      </c>
      <c r="G65" s="85">
        <f>H65+I65</f>
        <v>13000</v>
      </c>
      <c r="H65" s="85"/>
      <c r="I65" s="85">
        <f>J65</f>
        <v>13000</v>
      </c>
      <c r="J65" s="85">
        <v>13000</v>
      </c>
    </row>
    <row r="66" spans="1:10" ht="110.25" customHeight="1">
      <c r="A66" s="319" t="s">
        <v>190</v>
      </c>
      <c r="B66" s="319" t="s">
        <v>191</v>
      </c>
      <c r="C66" s="337" t="s">
        <v>192</v>
      </c>
      <c r="D66" s="328" t="s">
        <v>193</v>
      </c>
      <c r="E66" s="41" t="s">
        <v>18</v>
      </c>
      <c r="F66" s="43" t="s">
        <v>544</v>
      </c>
      <c r="G66" s="85">
        <f aca="true" t="shared" si="2" ref="G66:G78">H66+I66</f>
        <v>9005335</v>
      </c>
      <c r="H66" s="85">
        <f>3688410+175500+2800</f>
        <v>3866710</v>
      </c>
      <c r="I66" s="85">
        <f>4900875+J66+225750</f>
        <v>5138625</v>
      </c>
      <c r="J66" s="85">
        <f>12000</f>
        <v>12000</v>
      </c>
    </row>
    <row r="67" spans="1:10" ht="90.75" customHeight="1">
      <c r="A67" s="320"/>
      <c r="B67" s="320"/>
      <c r="C67" s="316"/>
      <c r="D67" s="328"/>
      <c r="E67" s="41" t="s">
        <v>222</v>
      </c>
      <c r="F67" s="43" t="s">
        <v>454</v>
      </c>
      <c r="G67" s="85">
        <f t="shared" si="2"/>
        <v>131078</v>
      </c>
      <c r="H67" s="85">
        <f>123146+7932</f>
        <v>131078</v>
      </c>
      <c r="I67" s="85"/>
      <c r="J67" s="85"/>
    </row>
    <row r="68" spans="1:10" ht="90.75" customHeight="1">
      <c r="A68" s="319" t="s">
        <v>194</v>
      </c>
      <c r="B68" s="319" t="s">
        <v>195</v>
      </c>
      <c r="C68" s="319" t="s">
        <v>196</v>
      </c>
      <c r="D68" s="340" t="s">
        <v>463</v>
      </c>
      <c r="E68" s="42" t="s">
        <v>19</v>
      </c>
      <c r="F68" s="43" t="s">
        <v>455</v>
      </c>
      <c r="G68" s="85">
        <f t="shared" si="2"/>
        <v>327348</v>
      </c>
      <c r="H68" s="85">
        <f>292950+26460</f>
        <v>319410</v>
      </c>
      <c r="I68" s="85">
        <v>7938</v>
      </c>
      <c r="J68" s="85"/>
    </row>
    <row r="69" spans="1:10" ht="93" customHeight="1">
      <c r="A69" s="324"/>
      <c r="B69" s="324"/>
      <c r="C69" s="324"/>
      <c r="D69" s="328"/>
      <c r="E69" s="41" t="s">
        <v>18</v>
      </c>
      <c r="F69" s="43" t="s">
        <v>544</v>
      </c>
      <c r="G69" s="85">
        <f t="shared" si="2"/>
        <v>10639392</v>
      </c>
      <c r="H69" s="85">
        <f>6632110+697533+50000+3568+304820+50000+1380210</f>
        <v>9118241</v>
      </c>
      <c r="I69" s="85">
        <f>1308991+J69+212160</f>
        <v>1521151</v>
      </c>
      <c r="J69" s="85"/>
    </row>
    <row r="70" spans="1:10" ht="84.75" customHeight="1">
      <c r="A70" s="324"/>
      <c r="B70" s="324"/>
      <c r="C70" s="324"/>
      <c r="D70" s="328"/>
      <c r="E70" s="41" t="s">
        <v>222</v>
      </c>
      <c r="F70" s="43" t="s">
        <v>454</v>
      </c>
      <c r="G70" s="85">
        <f t="shared" si="2"/>
        <v>1821289</v>
      </c>
      <c r="H70" s="85">
        <f>1768928+5200+20376+4250+935+21600</f>
        <v>1821289</v>
      </c>
      <c r="I70" s="85"/>
      <c r="J70" s="85"/>
    </row>
    <row r="71" spans="1:10" ht="78">
      <c r="A71" s="319" t="s">
        <v>203</v>
      </c>
      <c r="B71" s="319" t="s">
        <v>115</v>
      </c>
      <c r="C71" s="319" t="s">
        <v>204</v>
      </c>
      <c r="D71" s="330" t="s">
        <v>464</v>
      </c>
      <c r="E71" s="41" t="s">
        <v>222</v>
      </c>
      <c r="F71" s="43" t="s">
        <v>454</v>
      </c>
      <c r="G71" s="85">
        <f t="shared" si="2"/>
        <v>8002</v>
      </c>
      <c r="H71" s="85">
        <v>8002</v>
      </c>
      <c r="I71" s="85"/>
      <c r="J71" s="85"/>
    </row>
    <row r="72" spans="1:10" ht="93">
      <c r="A72" s="335"/>
      <c r="B72" s="335"/>
      <c r="C72" s="335"/>
      <c r="D72" s="318"/>
      <c r="E72" s="41" t="s">
        <v>18</v>
      </c>
      <c r="F72" s="43" t="s">
        <v>544</v>
      </c>
      <c r="G72" s="85">
        <f t="shared" si="2"/>
        <v>35265</v>
      </c>
      <c r="H72" s="85">
        <v>35265</v>
      </c>
      <c r="I72" s="85"/>
      <c r="J72" s="85"/>
    </row>
    <row r="73" spans="1:10" ht="78">
      <c r="A73" s="50" t="s">
        <v>205</v>
      </c>
      <c r="B73" s="50" t="s">
        <v>206</v>
      </c>
      <c r="C73" s="50" t="s">
        <v>207</v>
      </c>
      <c r="D73" s="40" t="s">
        <v>465</v>
      </c>
      <c r="E73" s="41" t="s">
        <v>222</v>
      </c>
      <c r="F73" s="43" t="s">
        <v>454</v>
      </c>
      <c r="G73" s="85">
        <f t="shared" si="2"/>
        <v>350</v>
      </c>
      <c r="H73" s="85">
        <v>350</v>
      </c>
      <c r="I73" s="85"/>
      <c r="J73" s="85"/>
    </row>
    <row r="74" spans="1:10" ht="93">
      <c r="A74" s="50" t="s">
        <v>208</v>
      </c>
      <c r="B74" s="50" t="s">
        <v>209</v>
      </c>
      <c r="C74" s="50" t="s">
        <v>207</v>
      </c>
      <c r="D74" s="210" t="s">
        <v>210</v>
      </c>
      <c r="E74" s="41" t="s">
        <v>18</v>
      </c>
      <c r="F74" s="43" t="s">
        <v>544</v>
      </c>
      <c r="G74" s="85">
        <f>H74+I74</f>
        <v>35000</v>
      </c>
      <c r="H74" s="85"/>
      <c r="I74" s="85">
        <f>J74</f>
        <v>35000</v>
      </c>
      <c r="J74" s="85">
        <v>35000</v>
      </c>
    </row>
    <row r="75" spans="1:10" ht="78">
      <c r="A75" s="50" t="s">
        <v>214</v>
      </c>
      <c r="B75" s="50" t="s">
        <v>215</v>
      </c>
      <c r="C75" s="50" t="s">
        <v>207</v>
      </c>
      <c r="D75" s="57" t="s">
        <v>216</v>
      </c>
      <c r="E75" s="41" t="s">
        <v>223</v>
      </c>
      <c r="F75" s="43" t="s">
        <v>456</v>
      </c>
      <c r="G75" s="85">
        <f t="shared" si="2"/>
        <v>255140</v>
      </c>
      <c r="H75" s="85">
        <v>255140</v>
      </c>
      <c r="I75" s="85"/>
      <c r="J75" s="85"/>
    </row>
    <row r="76" spans="1:10" ht="81" customHeight="1">
      <c r="A76" s="191" t="s">
        <v>504</v>
      </c>
      <c r="B76" s="191" t="s">
        <v>505</v>
      </c>
      <c r="C76" s="191" t="s">
        <v>506</v>
      </c>
      <c r="D76" s="192" t="s">
        <v>507</v>
      </c>
      <c r="E76" s="211" t="s">
        <v>545</v>
      </c>
      <c r="F76" s="43" t="s">
        <v>546</v>
      </c>
      <c r="G76" s="85">
        <f t="shared" si="2"/>
        <v>2880</v>
      </c>
      <c r="H76" s="85">
        <v>2880</v>
      </c>
      <c r="I76" s="85"/>
      <c r="J76" s="85"/>
    </row>
    <row r="77" spans="1:10" ht="93">
      <c r="A77" s="319" t="s">
        <v>217</v>
      </c>
      <c r="B77" s="319" t="s">
        <v>218</v>
      </c>
      <c r="C77" s="319" t="s">
        <v>219</v>
      </c>
      <c r="D77" s="330" t="s">
        <v>220</v>
      </c>
      <c r="E77" s="41" t="s">
        <v>18</v>
      </c>
      <c r="F77" s="43" t="s">
        <v>544</v>
      </c>
      <c r="G77" s="85">
        <f t="shared" si="2"/>
        <v>33265</v>
      </c>
      <c r="H77" s="85">
        <v>23265</v>
      </c>
      <c r="I77" s="85">
        <f>J77</f>
        <v>10000</v>
      </c>
      <c r="J77" s="85">
        <v>10000</v>
      </c>
    </row>
    <row r="78" spans="1:10" ht="78">
      <c r="A78" s="320"/>
      <c r="B78" s="320"/>
      <c r="C78" s="320"/>
      <c r="D78" s="330"/>
      <c r="E78" s="41" t="s">
        <v>222</v>
      </c>
      <c r="F78" s="43" t="s">
        <v>454</v>
      </c>
      <c r="G78" s="85">
        <f t="shared" si="2"/>
        <v>10047</v>
      </c>
      <c r="H78" s="85">
        <v>10047</v>
      </c>
      <c r="I78" s="85"/>
      <c r="J78" s="85"/>
    </row>
    <row r="79" spans="1:10" ht="93">
      <c r="A79" s="191" t="s">
        <v>471</v>
      </c>
      <c r="B79" s="191" t="s">
        <v>472</v>
      </c>
      <c r="C79" s="191" t="s">
        <v>141</v>
      </c>
      <c r="D79" s="192" t="s">
        <v>473</v>
      </c>
      <c r="E79" s="41" t="s">
        <v>18</v>
      </c>
      <c r="F79" s="43" t="s">
        <v>544</v>
      </c>
      <c r="G79" s="85">
        <f>H79+I79</f>
        <v>3843081</v>
      </c>
      <c r="H79" s="85"/>
      <c r="I79" s="85">
        <f>J79</f>
        <v>3843081</v>
      </c>
      <c r="J79" s="85">
        <f>3545137+251261+46683</f>
        <v>3843081</v>
      </c>
    </row>
    <row r="80" spans="1:10" ht="78">
      <c r="A80" s="50" t="s">
        <v>388</v>
      </c>
      <c r="B80" s="50" t="s">
        <v>389</v>
      </c>
      <c r="C80" s="50" t="s">
        <v>142</v>
      </c>
      <c r="D80" s="40" t="s">
        <v>390</v>
      </c>
      <c r="E80" s="49" t="s">
        <v>13</v>
      </c>
      <c r="F80" s="44" t="s">
        <v>437</v>
      </c>
      <c r="G80" s="85">
        <f>H80+I80</f>
        <v>597771</v>
      </c>
      <c r="H80" s="85"/>
      <c r="I80" s="85">
        <f>J80</f>
        <v>597771</v>
      </c>
      <c r="J80" s="85">
        <v>597771</v>
      </c>
    </row>
    <row r="81" spans="1:10" ht="33.75" customHeight="1">
      <c r="A81" s="47" t="s">
        <v>224</v>
      </c>
      <c r="B81" s="58"/>
      <c r="C81" s="52"/>
      <c r="D81" s="56" t="s">
        <v>225</v>
      </c>
      <c r="E81" s="41"/>
      <c r="F81" s="63"/>
      <c r="G81" s="87">
        <f>G82</f>
        <v>6149599</v>
      </c>
      <c r="H81" s="87">
        <f>H82</f>
        <v>6098139</v>
      </c>
      <c r="I81" s="87">
        <f>I82</f>
        <v>51460</v>
      </c>
      <c r="J81" s="87">
        <f>J82</f>
        <v>51460</v>
      </c>
    </row>
    <row r="82" spans="1:10" ht="30.75">
      <c r="A82" s="47" t="s">
        <v>226</v>
      </c>
      <c r="B82" s="58"/>
      <c r="C82" s="52"/>
      <c r="D82" s="56" t="s">
        <v>225</v>
      </c>
      <c r="E82" s="41"/>
      <c r="F82" s="63"/>
      <c r="G82" s="87">
        <f>SUM(G83:G96)</f>
        <v>6149599</v>
      </c>
      <c r="H82" s="87">
        <f>SUM(H83:H96)</f>
        <v>6098139</v>
      </c>
      <c r="I82" s="87">
        <f>SUM(I83:I96)</f>
        <v>51460</v>
      </c>
      <c r="J82" s="87">
        <f>SUM(J83:J96)</f>
        <v>51460</v>
      </c>
    </row>
    <row r="83" spans="1:10" ht="30.75">
      <c r="A83" s="50" t="s">
        <v>343</v>
      </c>
      <c r="B83" s="50" t="s">
        <v>344</v>
      </c>
      <c r="C83" s="50" t="s">
        <v>111</v>
      </c>
      <c r="D83" s="40" t="s">
        <v>345</v>
      </c>
      <c r="E83" s="321" t="s">
        <v>10</v>
      </c>
      <c r="F83" s="322" t="s">
        <v>570</v>
      </c>
      <c r="G83" s="85">
        <f>H83+I83</f>
        <v>22260</v>
      </c>
      <c r="H83" s="85">
        <v>22260</v>
      </c>
      <c r="I83" s="85"/>
      <c r="J83" s="85"/>
    </row>
    <row r="84" spans="1:10" ht="30.75">
      <c r="A84" s="50" t="s">
        <v>346</v>
      </c>
      <c r="B84" s="50" t="s">
        <v>347</v>
      </c>
      <c r="C84" s="50" t="s">
        <v>348</v>
      </c>
      <c r="D84" s="40" t="s">
        <v>349</v>
      </c>
      <c r="E84" s="288"/>
      <c r="F84" s="323"/>
      <c r="G84" s="85">
        <f aca="true" t="shared" si="3" ref="G84:G96">H84+I84</f>
        <v>155360</v>
      </c>
      <c r="H84" s="85">
        <v>155360</v>
      </c>
      <c r="I84" s="85"/>
      <c r="J84" s="85"/>
    </row>
    <row r="85" spans="1:10" ht="39.75" customHeight="1">
      <c r="A85" s="50" t="s">
        <v>350</v>
      </c>
      <c r="B85" s="50" t="s">
        <v>351</v>
      </c>
      <c r="C85" s="50" t="s">
        <v>348</v>
      </c>
      <c r="D85" s="40" t="s">
        <v>352</v>
      </c>
      <c r="E85" s="288"/>
      <c r="F85" s="323"/>
      <c r="G85" s="85">
        <f t="shared" si="3"/>
        <v>2800000</v>
      </c>
      <c r="H85" s="85">
        <v>2800000</v>
      </c>
      <c r="I85" s="85"/>
      <c r="J85" s="85"/>
    </row>
    <row r="86" spans="1:10" ht="49.5" customHeight="1">
      <c r="A86" s="50" t="s">
        <v>353</v>
      </c>
      <c r="B86" s="50" t="s">
        <v>354</v>
      </c>
      <c r="C86" s="50" t="s">
        <v>348</v>
      </c>
      <c r="D86" s="40" t="s">
        <v>355</v>
      </c>
      <c r="E86" s="289"/>
      <c r="F86" s="283"/>
      <c r="G86" s="85">
        <f t="shared" si="3"/>
        <v>153000</v>
      </c>
      <c r="H86" s="85">
        <v>153000</v>
      </c>
      <c r="I86" s="85"/>
      <c r="J86" s="85"/>
    </row>
    <row r="87" spans="1:10" ht="81" customHeight="1">
      <c r="A87" s="50" t="s">
        <v>234</v>
      </c>
      <c r="B87" s="50" t="s">
        <v>235</v>
      </c>
      <c r="C87" s="50" t="s">
        <v>107</v>
      </c>
      <c r="D87" s="40" t="s">
        <v>236</v>
      </c>
      <c r="E87" s="317" t="s">
        <v>374</v>
      </c>
      <c r="F87" s="334" t="s">
        <v>449</v>
      </c>
      <c r="G87" s="85">
        <f t="shared" si="3"/>
        <v>605597</v>
      </c>
      <c r="H87" s="85">
        <v>605597</v>
      </c>
      <c r="I87" s="85"/>
      <c r="J87" s="85"/>
    </row>
    <row r="88" spans="1:10" ht="24" customHeight="1">
      <c r="A88" s="50" t="s">
        <v>237</v>
      </c>
      <c r="B88" s="50" t="s">
        <v>238</v>
      </c>
      <c r="C88" s="50" t="s">
        <v>107</v>
      </c>
      <c r="D88" s="42" t="s">
        <v>369</v>
      </c>
      <c r="E88" s="318"/>
      <c r="F88" s="283"/>
      <c r="G88" s="85">
        <f t="shared" si="3"/>
        <v>5000</v>
      </c>
      <c r="H88" s="85">
        <v>5000</v>
      </c>
      <c r="I88" s="85"/>
      <c r="J88" s="85"/>
    </row>
    <row r="89" spans="1:10" ht="78">
      <c r="A89" s="50" t="s">
        <v>356</v>
      </c>
      <c r="B89" s="50" t="s">
        <v>357</v>
      </c>
      <c r="C89" s="50" t="s">
        <v>191</v>
      </c>
      <c r="D89" s="42" t="s">
        <v>370</v>
      </c>
      <c r="E89" s="344" t="s">
        <v>10</v>
      </c>
      <c r="F89" s="316" t="s">
        <v>570</v>
      </c>
      <c r="G89" s="85">
        <f t="shared" si="3"/>
        <v>606834</v>
      </c>
      <c r="H89" s="85">
        <v>606834</v>
      </c>
      <c r="I89" s="85"/>
      <c r="J89" s="85"/>
    </row>
    <row r="90" spans="1:10" ht="62.25">
      <c r="A90" s="50" t="s">
        <v>359</v>
      </c>
      <c r="B90" s="50" t="s">
        <v>360</v>
      </c>
      <c r="C90" s="50" t="s">
        <v>361</v>
      </c>
      <c r="D90" s="40" t="s">
        <v>371</v>
      </c>
      <c r="E90" s="261"/>
      <c r="F90" s="259"/>
      <c r="G90" s="85">
        <f t="shared" si="3"/>
        <v>310166</v>
      </c>
      <c r="H90" s="85">
        <v>310166</v>
      </c>
      <c r="I90" s="85"/>
      <c r="J90" s="85"/>
    </row>
    <row r="91" spans="1:10" ht="30.75">
      <c r="A91" s="50" t="s">
        <v>363</v>
      </c>
      <c r="B91" s="50" t="s">
        <v>110</v>
      </c>
      <c r="C91" s="50" t="s">
        <v>111</v>
      </c>
      <c r="D91" s="40" t="s">
        <v>112</v>
      </c>
      <c r="E91" s="261"/>
      <c r="F91" s="259"/>
      <c r="G91" s="85">
        <f t="shared" si="3"/>
        <v>303324</v>
      </c>
      <c r="H91" s="85">
        <f>253324+50000</f>
        <v>303324</v>
      </c>
      <c r="I91" s="85"/>
      <c r="J91" s="85"/>
    </row>
    <row r="92" spans="1:10" ht="46.5">
      <c r="A92" s="50" t="s">
        <v>364</v>
      </c>
      <c r="B92" s="50" t="s">
        <v>365</v>
      </c>
      <c r="C92" s="50" t="s">
        <v>111</v>
      </c>
      <c r="D92" s="40" t="s">
        <v>372</v>
      </c>
      <c r="E92" s="261"/>
      <c r="F92" s="259"/>
      <c r="G92" s="85">
        <f t="shared" si="3"/>
        <v>300000</v>
      </c>
      <c r="H92" s="85">
        <v>300000</v>
      </c>
      <c r="I92" s="85"/>
      <c r="J92" s="85"/>
    </row>
    <row r="93" spans="1:10" ht="87.75" customHeight="1">
      <c r="A93" s="50" t="s">
        <v>528</v>
      </c>
      <c r="B93" s="50" t="s">
        <v>505</v>
      </c>
      <c r="C93" s="50" t="s">
        <v>506</v>
      </c>
      <c r="D93" s="192" t="s">
        <v>507</v>
      </c>
      <c r="E93" s="211" t="s">
        <v>545</v>
      </c>
      <c r="F93" s="43" t="s">
        <v>546</v>
      </c>
      <c r="G93" s="214">
        <f t="shared" si="3"/>
        <v>11520</v>
      </c>
      <c r="H93" s="214">
        <v>11520</v>
      </c>
      <c r="I93" s="85"/>
      <c r="J93" s="85"/>
    </row>
    <row r="94" spans="1:10" ht="48" customHeight="1">
      <c r="A94" s="50" t="s">
        <v>367</v>
      </c>
      <c r="B94" s="50" t="s">
        <v>114</v>
      </c>
      <c r="C94" s="52" t="s">
        <v>115</v>
      </c>
      <c r="D94" s="59" t="s">
        <v>373</v>
      </c>
      <c r="E94" s="345" t="s">
        <v>10</v>
      </c>
      <c r="F94" s="334" t="s">
        <v>570</v>
      </c>
      <c r="G94" s="85">
        <f t="shared" si="3"/>
        <v>789380</v>
      </c>
      <c r="H94" s="85">
        <v>789380</v>
      </c>
      <c r="I94" s="85"/>
      <c r="J94" s="85"/>
    </row>
    <row r="95" spans="1:10" ht="57.75" customHeight="1">
      <c r="A95" s="50" t="s">
        <v>527</v>
      </c>
      <c r="B95" s="50" t="s">
        <v>319</v>
      </c>
      <c r="C95" s="50" t="s">
        <v>141</v>
      </c>
      <c r="D95" s="40" t="s">
        <v>461</v>
      </c>
      <c r="E95" s="289"/>
      <c r="F95" s="283"/>
      <c r="G95" s="85">
        <f>H95+I95</f>
        <v>51460</v>
      </c>
      <c r="H95" s="85"/>
      <c r="I95" s="85">
        <f>J95</f>
        <v>51460</v>
      </c>
      <c r="J95" s="85">
        <v>51460</v>
      </c>
    </row>
    <row r="96" spans="1:10" ht="93">
      <c r="A96" s="50" t="s">
        <v>368</v>
      </c>
      <c r="B96" s="50" t="s">
        <v>151</v>
      </c>
      <c r="C96" s="50" t="s">
        <v>142</v>
      </c>
      <c r="D96" s="40" t="s">
        <v>152</v>
      </c>
      <c r="E96" s="41" t="s">
        <v>20</v>
      </c>
      <c r="F96" s="44" t="s">
        <v>0</v>
      </c>
      <c r="G96" s="85">
        <f t="shared" si="3"/>
        <v>35698</v>
      </c>
      <c r="H96" s="85">
        <v>35698</v>
      </c>
      <c r="I96" s="85"/>
      <c r="J96" s="85"/>
    </row>
    <row r="97" spans="1:10" ht="15">
      <c r="A97" s="47" t="s">
        <v>240</v>
      </c>
      <c r="B97" s="58"/>
      <c r="C97" s="52"/>
      <c r="D97" s="60" t="s">
        <v>382</v>
      </c>
      <c r="E97" s="40"/>
      <c r="F97" s="63"/>
      <c r="G97" s="87">
        <f>G98</f>
        <v>3524071</v>
      </c>
      <c r="H97" s="87">
        <f>H98</f>
        <v>1510497</v>
      </c>
      <c r="I97" s="87">
        <f>I98</f>
        <v>2013574</v>
      </c>
      <c r="J97" s="87">
        <f>J98</f>
        <v>2013574</v>
      </c>
    </row>
    <row r="98" spans="1:10" ht="15">
      <c r="A98" s="47" t="s">
        <v>242</v>
      </c>
      <c r="B98" s="58"/>
      <c r="C98" s="52"/>
      <c r="D98" s="60" t="s">
        <v>382</v>
      </c>
      <c r="E98" s="40"/>
      <c r="F98" s="63"/>
      <c r="G98" s="87">
        <f aca="true" t="shared" si="4" ref="G98:G105">H98+I98</f>
        <v>3524071</v>
      </c>
      <c r="H98" s="87">
        <f>SUM(H99:H106)</f>
        <v>1510497</v>
      </c>
      <c r="I98" s="87">
        <f>SUM(I99:I106)</f>
        <v>2013574</v>
      </c>
      <c r="J98" s="87">
        <f>SUM(J99:J106)</f>
        <v>2013574</v>
      </c>
    </row>
    <row r="99" spans="1:10" ht="93">
      <c r="A99" s="82" t="s">
        <v>246</v>
      </c>
      <c r="B99" s="50" t="s">
        <v>247</v>
      </c>
      <c r="C99" s="50" t="s">
        <v>248</v>
      </c>
      <c r="D99" s="40" t="s">
        <v>249</v>
      </c>
      <c r="E99" s="42" t="s">
        <v>21</v>
      </c>
      <c r="F99" s="43" t="s">
        <v>484</v>
      </c>
      <c r="G99" s="85">
        <f t="shared" si="4"/>
        <v>50419</v>
      </c>
      <c r="H99" s="85">
        <f>50419-40000</f>
        <v>10419</v>
      </c>
      <c r="I99" s="85">
        <f>J99</f>
        <v>40000</v>
      </c>
      <c r="J99" s="85">
        <v>40000</v>
      </c>
    </row>
    <row r="100" spans="1:10" ht="93">
      <c r="A100" s="50" t="s">
        <v>250</v>
      </c>
      <c r="B100" s="50" t="s">
        <v>251</v>
      </c>
      <c r="C100" s="50" t="s">
        <v>248</v>
      </c>
      <c r="D100" s="40" t="s">
        <v>252</v>
      </c>
      <c r="E100" s="42" t="s">
        <v>21</v>
      </c>
      <c r="F100" s="43" t="s">
        <v>484</v>
      </c>
      <c r="G100" s="85">
        <f t="shared" si="4"/>
        <v>22561</v>
      </c>
      <c r="H100" s="85">
        <v>22561</v>
      </c>
      <c r="I100" s="85"/>
      <c r="J100" s="85"/>
    </row>
    <row r="101" spans="1:10" ht="93">
      <c r="A101" s="50" t="s">
        <v>253</v>
      </c>
      <c r="B101" s="50" t="s">
        <v>254</v>
      </c>
      <c r="C101" s="50" t="s">
        <v>255</v>
      </c>
      <c r="D101" s="42" t="s">
        <v>256</v>
      </c>
      <c r="E101" s="42" t="s">
        <v>21</v>
      </c>
      <c r="F101" s="43" t="s">
        <v>484</v>
      </c>
      <c r="G101" s="85">
        <f t="shared" si="4"/>
        <v>895104</v>
      </c>
      <c r="H101" s="85">
        <f>19422</f>
        <v>19422</v>
      </c>
      <c r="I101" s="85">
        <f>J101</f>
        <v>875682</v>
      </c>
      <c r="J101" s="85">
        <f>845082+30600</f>
        <v>875682</v>
      </c>
    </row>
    <row r="102" spans="1:10" ht="93">
      <c r="A102" s="319" t="s">
        <v>261</v>
      </c>
      <c r="B102" s="320">
        <v>4082</v>
      </c>
      <c r="C102" s="337" t="s">
        <v>259</v>
      </c>
      <c r="D102" s="338" t="s">
        <v>263</v>
      </c>
      <c r="E102" s="42" t="s">
        <v>21</v>
      </c>
      <c r="F102" s="43" t="s">
        <v>484</v>
      </c>
      <c r="G102" s="85">
        <f t="shared" si="4"/>
        <v>1105850</v>
      </c>
      <c r="H102" s="85">
        <v>1105850</v>
      </c>
      <c r="I102" s="85"/>
      <c r="J102" s="85"/>
    </row>
    <row r="103" spans="1:10" ht="78">
      <c r="A103" s="319"/>
      <c r="B103" s="320"/>
      <c r="C103" s="316"/>
      <c r="D103" s="338"/>
      <c r="E103" s="42" t="s">
        <v>182</v>
      </c>
      <c r="F103" s="43" t="s">
        <v>451</v>
      </c>
      <c r="G103" s="85">
        <f t="shared" si="4"/>
        <v>192245</v>
      </c>
      <c r="H103" s="85">
        <f>145000+47245</f>
        <v>192245</v>
      </c>
      <c r="I103" s="85"/>
      <c r="J103" s="85"/>
    </row>
    <row r="104" spans="1:10" ht="93">
      <c r="A104" s="191" t="s">
        <v>508</v>
      </c>
      <c r="B104" s="191" t="s">
        <v>509</v>
      </c>
      <c r="C104" s="212" t="s">
        <v>141</v>
      </c>
      <c r="D104" s="192" t="s">
        <v>510</v>
      </c>
      <c r="E104" s="42" t="s">
        <v>21</v>
      </c>
      <c r="F104" s="43" t="s">
        <v>484</v>
      </c>
      <c r="G104" s="85">
        <f t="shared" si="4"/>
        <v>897892</v>
      </c>
      <c r="H104" s="85"/>
      <c r="I104" s="85">
        <f>J104</f>
        <v>897892</v>
      </c>
      <c r="J104" s="85">
        <f>297892+600000</f>
        <v>897892</v>
      </c>
    </row>
    <row r="105" spans="1:10" ht="93">
      <c r="A105" s="191" t="s">
        <v>511</v>
      </c>
      <c r="B105" s="191" t="s">
        <v>512</v>
      </c>
      <c r="C105" s="212" t="s">
        <v>141</v>
      </c>
      <c r="D105" s="192" t="s">
        <v>513</v>
      </c>
      <c r="E105" s="42" t="s">
        <v>21</v>
      </c>
      <c r="F105" s="43" t="s">
        <v>484</v>
      </c>
      <c r="G105" s="85">
        <f t="shared" si="4"/>
        <v>200000</v>
      </c>
      <c r="H105" s="85"/>
      <c r="I105" s="85">
        <f>J105</f>
        <v>200000</v>
      </c>
      <c r="J105" s="85">
        <f>200000</f>
        <v>200000</v>
      </c>
    </row>
    <row r="106" spans="1:10" ht="93">
      <c r="A106" s="50" t="s">
        <v>264</v>
      </c>
      <c r="B106" s="51">
        <v>7622</v>
      </c>
      <c r="C106" s="52" t="s">
        <v>266</v>
      </c>
      <c r="D106" s="59" t="s">
        <v>383</v>
      </c>
      <c r="E106" s="42" t="s">
        <v>21</v>
      </c>
      <c r="F106" s="43" t="s">
        <v>484</v>
      </c>
      <c r="G106" s="85">
        <f>H106</f>
        <v>160000</v>
      </c>
      <c r="H106" s="85">
        <f>80000+80000</f>
        <v>160000</v>
      </c>
      <c r="I106" s="85"/>
      <c r="J106" s="85"/>
    </row>
    <row r="107" spans="1:10" ht="41.25" customHeight="1">
      <c r="A107" s="47" t="s">
        <v>268</v>
      </c>
      <c r="B107" s="58"/>
      <c r="C107" s="52"/>
      <c r="D107" s="56" t="s">
        <v>269</v>
      </c>
      <c r="E107" s="41"/>
      <c r="F107" s="44"/>
      <c r="G107" s="87">
        <f>G108</f>
        <v>7671735</v>
      </c>
      <c r="H107" s="87">
        <f>H108</f>
        <v>6183120</v>
      </c>
      <c r="I107" s="87">
        <f>I108</f>
        <v>1488615</v>
      </c>
      <c r="J107" s="87">
        <f>J108</f>
        <v>1488615</v>
      </c>
    </row>
    <row r="108" spans="1:10" ht="40.5" customHeight="1">
      <c r="A108" s="47" t="s">
        <v>270</v>
      </c>
      <c r="B108" s="58"/>
      <c r="C108" s="52"/>
      <c r="D108" s="56" t="s">
        <v>269</v>
      </c>
      <c r="E108" s="41"/>
      <c r="F108" s="44"/>
      <c r="G108" s="87">
        <f>SUM(G109:G119)</f>
        <v>7671735</v>
      </c>
      <c r="H108" s="87">
        <f>SUM(H109:H119)</f>
        <v>6183120</v>
      </c>
      <c r="I108" s="87">
        <f>SUM(I109:I119)</f>
        <v>1488615</v>
      </c>
      <c r="J108" s="87">
        <f>SUM(J109:J119)</f>
        <v>1488615</v>
      </c>
    </row>
    <row r="109" spans="1:10" ht="84.75" customHeight="1">
      <c r="A109" s="50" t="s">
        <v>272</v>
      </c>
      <c r="B109" s="50" t="s">
        <v>273</v>
      </c>
      <c r="C109" s="52" t="s">
        <v>107</v>
      </c>
      <c r="D109" s="42" t="s">
        <v>274</v>
      </c>
      <c r="E109" s="36" t="s">
        <v>340</v>
      </c>
      <c r="F109" s="43" t="s">
        <v>457</v>
      </c>
      <c r="G109" s="85">
        <f>H109+I109</f>
        <v>70700</v>
      </c>
      <c r="H109" s="85">
        <v>70700</v>
      </c>
      <c r="I109" s="85"/>
      <c r="J109" s="85"/>
    </row>
    <row r="110" spans="1:10" ht="91.5" customHeight="1">
      <c r="A110" s="50" t="s">
        <v>275</v>
      </c>
      <c r="B110" s="50" t="s">
        <v>276</v>
      </c>
      <c r="C110" s="52" t="s">
        <v>107</v>
      </c>
      <c r="D110" s="42" t="s">
        <v>337</v>
      </c>
      <c r="E110" s="42" t="s">
        <v>19</v>
      </c>
      <c r="F110" s="43" t="s">
        <v>455</v>
      </c>
      <c r="G110" s="85">
        <f aca="true" t="shared" si="5" ref="G110:G119">H110+I110</f>
        <v>361200</v>
      </c>
      <c r="H110" s="85">
        <f>361200</f>
        <v>361200</v>
      </c>
      <c r="I110" s="85"/>
      <c r="J110" s="85"/>
    </row>
    <row r="111" spans="1:10" ht="90" customHeight="1">
      <c r="A111" s="50" t="s">
        <v>529</v>
      </c>
      <c r="B111" s="50" t="s">
        <v>505</v>
      </c>
      <c r="C111" s="50" t="s">
        <v>506</v>
      </c>
      <c r="D111" s="192" t="s">
        <v>507</v>
      </c>
      <c r="E111" s="211" t="s">
        <v>545</v>
      </c>
      <c r="F111" s="43" t="s">
        <v>546</v>
      </c>
      <c r="G111" s="85">
        <f>H111+I111</f>
        <v>11520</v>
      </c>
      <c r="H111" s="85">
        <v>11520</v>
      </c>
      <c r="I111" s="85"/>
      <c r="J111" s="85"/>
    </row>
    <row r="112" spans="1:10" ht="117" customHeight="1">
      <c r="A112" s="332">
        <v>1115011</v>
      </c>
      <c r="B112" s="332">
        <v>5011</v>
      </c>
      <c r="C112" s="337" t="s">
        <v>219</v>
      </c>
      <c r="D112" s="328" t="s">
        <v>338</v>
      </c>
      <c r="E112" s="36" t="s">
        <v>341</v>
      </c>
      <c r="F112" s="43" t="s">
        <v>485</v>
      </c>
      <c r="G112" s="85">
        <f t="shared" si="5"/>
        <v>303040</v>
      </c>
      <c r="H112" s="85">
        <v>303040</v>
      </c>
      <c r="I112" s="85"/>
      <c r="J112" s="85"/>
    </row>
    <row r="113" spans="1:10" ht="84" customHeight="1">
      <c r="A113" s="332"/>
      <c r="B113" s="332"/>
      <c r="C113" s="337"/>
      <c r="D113" s="328"/>
      <c r="E113" s="42" t="s">
        <v>182</v>
      </c>
      <c r="F113" s="43" t="s">
        <v>451</v>
      </c>
      <c r="G113" s="85">
        <f t="shared" si="5"/>
        <v>136960</v>
      </c>
      <c r="H113" s="85">
        <v>136960</v>
      </c>
      <c r="I113" s="85"/>
      <c r="J113" s="85"/>
    </row>
    <row r="114" spans="1:10" ht="105.75" customHeight="1">
      <c r="A114" s="53">
        <v>1115041</v>
      </c>
      <c r="B114" s="53">
        <v>5041</v>
      </c>
      <c r="C114" s="52" t="s">
        <v>219</v>
      </c>
      <c r="D114" s="42" t="s">
        <v>284</v>
      </c>
      <c r="E114" s="65" t="s">
        <v>341</v>
      </c>
      <c r="F114" s="43" t="s">
        <v>485</v>
      </c>
      <c r="G114" s="85">
        <f t="shared" si="5"/>
        <v>3651500</v>
      </c>
      <c r="H114" s="85">
        <v>3651500</v>
      </c>
      <c r="I114" s="85"/>
      <c r="J114" s="85"/>
    </row>
    <row r="115" spans="1:10" ht="93">
      <c r="A115" s="332">
        <v>1115062</v>
      </c>
      <c r="B115" s="332">
        <v>5062</v>
      </c>
      <c r="C115" s="337" t="s">
        <v>219</v>
      </c>
      <c r="D115" s="328" t="s">
        <v>339</v>
      </c>
      <c r="E115" s="65" t="s">
        <v>341</v>
      </c>
      <c r="F115" s="43" t="s">
        <v>485</v>
      </c>
      <c r="G115" s="85">
        <f t="shared" si="5"/>
        <v>345640</v>
      </c>
      <c r="H115" s="85">
        <f>100000+245640</f>
        <v>345640</v>
      </c>
      <c r="I115" s="85"/>
      <c r="J115" s="85"/>
    </row>
    <row r="116" spans="1:10" ht="78">
      <c r="A116" s="332"/>
      <c r="B116" s="332"/>
      <c r="C116" s="337"/>
      <c r="D116" s="329"/>
      <c r="E116" s="41" t="s">
        <v>342</v>
      </c>
      <c r="F116" s="43" t="s">
        <v>554</v>
      </c>
      <c r="G116" s="85">
        <f t="shared" si="5"/>
        <v>1284560</v>
      </c>
      <c r="H116" s="85">
        <v>1284560</v>
      </c>
      <c r="I116" s="85"/>
      <c r="J116" s="85"/>
    </row>
    <row r="117" spans="1:10" ht="93">
      <c r="A117" s="191" t="s">
        <v>475</v>
      </c>
      <c r="B117" s="191" t="s">
        <v>476</v>
      </c>
      <c r="C117" s="50" t="s">
        <v>141</v>
      </c>
      <c r="D117" s="54" t="s">
        <v>477</v>
      </c>
      <c r="E117" s="65" t="s">
        <v>341</v>
      </c>
      <c r="F117" s="43" t="s">
        <v>485</v>
      </c>
      <c r="G117" s="85">
        <f>H117+I117</f>
        <v>575498</v>
      </c>
      <c r="H117" s="85"/>
      <c r="I117" s="85">
        <f>J117</f>
        <v>575498</v>
      </c>
      <c r="J117" s="85">
        <f>575498</f>
        <v>575498</v>
      </c>
    </row>
    <row r="118" spans="1:10" ht="99" customHeight="1">
      <c r="A118" s="50" t="s">
        <v>462</v>
      </c>
      <c r="B118" s="50" t="s">
        <v>389</v>
      </c>
      <c r="C118" s="50" t="s">
        <v>142</v>
      </c>
      <c r="D118" s="40" t="s">
        <v>390</v>
      </c>
      <c r="E118" s="36" t="s">
        <v>341</v>
      </c>
      <c r="F118" s="43" t="s">
        <v>485</v>
      </c>
      <c r="G118" s="85">
        <f>H118+I118</f>
        <v>913117</v>
      </c>
      <c r="H118" s="85"/>
      <c r="I118" s="85">
        <f>J118</f>
        <v>913117</v>
      </c>
      <c r="J118" s="85">
        <f>174734+738383</f>
        <v>913117</v>
      </c>
    </row>
    <row r="119" spans="1:10" ht="78">
      <c r="A119" s="53">
        <v>1117693</v>
      </c>
      <c r="B119" s="53">
        <v>7693</v>
      </c>
      <c r="C119" s="52" t="s">
        <v>142</v>
      </c>
      <c r="D119" s="40" t="s">
        <v>152</v>
      </c>
      <c r="E119" s="42" t="s">
        <v>19</v>
      </c>
      <c r="F119" s="43" t="s">
        <v>455</v>
      </c>
      <c r="G119" s="85">
        <f t="shared" si="5"/>
        <v>18000</v>
      </c>
      <c r="H119" s="85">
        <v>18000</v>
      </c>
      <c r="I119" s="85"/>
      <c r="J119" s="85"/>
    </row>
    <row r="120" spans="1:10" ht="36.75" customHeight="1">
      <c r="A120" s="61" t="s">
        <v>292</v>
      </c>
      <c r="B120" s="52"/>
      <c r="C120" s="52"/>
      <c r="D120" s="56" t="s">
        <v>375</v>
      </c>
      <c r="E120" s="42"/>
      <c r="F120" s="63"/>
      <c r="G120" s="87">
        <f>G121</f>
        <v>6991925</v>
      </c>
      <c r="H120" s="87">
        <f>H121</f>
        <v>302398</v>
      </c>
      <c r="I120" s="87">
        <f>I121</f>
        <v>6689527</v>
      </c>
      <c r="J120" s="87">
        <f>J121</f>
        <v>6689527</v>
      </c>
    </row>
    <row r="121" spans="1:10" ht="41.25" customHeight="1">
      <c r="A121" s="61" t="s">
        <v>294</v>
      </c>
      <c r="B121" s="52"/>
      <c r="C121" s="52"/>
      <c r="D121" s="56" t="s">
        <v>375</v>
      </c>
      <c r="E121" s="42"/>
      <c r="F121" s="63"/>
      <c r="G121" s="87">
        <f>SUM(G122:G124)</f>
        <v>6991925</v>
      </c>
      <c r="H121" s="87">
        <f>SUM(H122:H124)</f>
        <v>302398</v>
      </c>
      <c r="I121" s="87">
        <f>SUM(I122:I124)</f>
        <v>6689527</v>
      </c>
      <c r="J121" s="87">
        <f>SUM(J122:J124)</f>
        <v>6689527</v>
      </c>
    </row>
    <row r="122" spans="1:10" ht="78">
      <c r="A122" s="191" t="s">
        <v>531</v>
      </c>
      <c r="B122" s="191" t="s">
        <v>476</v>
      </c>
      <c r="C122" s="191" t="s">
        <v>141</v>
      </c>
      <c r="D122" s="192" t="s">
        <v>477</v>
      </c>
      <c r="E122" s="49" t="s">
        <v>13</v>
      </c>
      <c r="F122" s="44" t="s">
        <v>437</v>
      </c>
      <c r="G122" s="85">
        <f>H122+I122</f>
        <v>22860</v>
      </c>
      <c r="H122" s="85"/>
      <c r="I122" s="85">
        <f>J122</f>
        <v>22860</v>
      </c>
      <c r="J122" s="85">
        <v>22860</v>
      </c>
    </row>
    <row r="123" spans="1:10" ht="78">
      <c r="A123" s="191" t="s">
        <v>530</v>
      </c>
      <c r="B123" s="191" t="s">
        <v>389</v>
      </c>
      <c r="C123" s="191" t="s">
        <v>142</v>
      </c>
      <c r="D123" s="192" t="s">
        <v>390</v>
      </c>
      <c r="E123" s="49" t="s">
        <v>13</v>
      </c>
      <c r="F123" s="44" t="s">
        <v>437</v>
      </c>
      <c r="G123" s="85">
        <f>H123+I123</f>
        <v>6666667</v>
      </c>
      <c r="H123" s="85"/>
      <c r="I123" s="85">
        <f>J123</f>
        <v>6666667</v>
      </c>
      <c r="J123" s="85">
        <v>6666667</v>
      </c>
    </row>
    <row r="124" spans="1:10" ht="78">
      <c r="A124" s="52" t="s">
        <v>296</v>
      </c>
      <c r="B124" s="50">
        <v>7693</v>
      </c>
      <c r="C124" s="52" t="s">
        <v>142</v>
      </c>
      <c r="D124" s="40" t="s">
        <v>152</v>
      </c>
      <c r="E124" s="42" t="s">
        <v>26</v>
      </c>
      <c r="F124" s="43" t="s">
        <v>458</v>
      </c>
      <c r="G124" s="85">
        <f>H124+I124</f>
        <v>302398</v>
      </c>
      <c r="H124" s="85">
        <v>302398</v>
      </c>
      <c r="I124" s="85"/>
      <c r="J124" s="85"/>
    </row>
    <row r="125" spans="1:10" ht="46.5">
      <c r="A125" s="47" t="s">
        <v>302</v>
      </c>
      <c r="B125" s="47"/>
      <c r="C125" s="47"/>
      <c r="D125" s="66" t="s">
        <v>303</v>
      </c>
      <c r="E125" s="42"/>
      <c r="F125" s="43"/>
      <c r="G125" s="87">
        <f>G126</f>
        <v>624512</v>
      </c>
      <c r="H125" s="87">
        <f>H126</f>
        <v>585512</v>
      </c>
      <c r="I125" s="87">
        <f>I126</f>
        <v>39000</v>
      </c>
      <c r="J125" s="87">
        <f>J126</f>
        <v>39000</v>
      </c>
    </row>
    <row r="126" spans="1:10" ht="46.5">
      <c r="A126" s="47" t="s">
        <v>304</v>
      </c>
      <c r="B126" s="47"/>
      <c r="C126" s="47"/>
      <c r="D126" s="66" t="s">
        <v>303</v>
      </c>
      <c r="E126" s="42"/>
      <c r="F126" s="43"/>
      <c r="G126" s="87">
        <f>SUM(G127:G129)</f>
        <v>624512</v>
      </c>
      <c r="H126" s="87">
        <f>SUM(H127:H129)</f>
        <v>585512</v>
      </c>
      <c r="I126" s="87">
        <f>SUM(I127:I129)</f>
        <v>39000</v>
      </c>
      <c r="J126" s="87">
        <f>SUM(J127:J129)</f>
        <v>39000</v>
      </c>
    </row>
    <row r="127" spans="1:10" ht="84" customHeight="1">
      <c r="A127" s="331" t="s">
        <v>306</v>
      </c>
      <c r="B127" s="331" t="s">
        <v>151</v>
      </c>
      <c r="C127" s="331" t="s">
        <v>142</v>
      </c>
      <c r="D127" s="333" t="s">
        <v>23</v>
      </c>
      <c r="E127" s="40" t="s">
        <v>24</v>
      </c>
      <c r="F127" s="43" t="s">
        <v>459</v>
      </c>
      <c r="G127" s="85">
        <f>H127+I127</f>
        <v>385512</v>
      </c>
      <c r="H127" s="85">
        <v>385512</v>
      </c>
      <c r="I127" s="85"/>
      <c r="J127" s="85"/>
    </row>
    <row r="128" spans="1:10" ht="96.75" customHeight="1">
      <c r="A128" s="274"/>
      <c r="B128" s="274"/>
      <c r="C128" s="274"/>
      <c r="D128" s="289"/>
      <c r="E128" s="42" t="s">
        <v>181</v>
      </c>
      <c r="F128" s="63" t="s">
        <v>555</v>
      </c>
      <c r="G128" s="85">
        <f>H128+I128</f>
        <v>39000</v>
      </c>
      <c r="H128" s="85"/>
      <c r="I128" s="85">
        <f>J128</f>
        <v>39000</v>
      </c>
      <c r="J128" s="85">
        <f>39000</f>
        <v>39000</v>
      </c>
    </row>
    <row r="129" spans="1:10" ht="78">
      <c r="A129" s="50" t="s">
        <v>308</v>
      </c>
      <c r="B129" s="50" t="s">
        <v>309</v>
      </c>
      <c r="C129" s="50" t="s">
        <v>155</v>
      </c>
      <c r="D129" s="40" t="s">
        <v>310</v>
      </c>
      <c r="E129" s="40" t="s">
        <v>24</v>
      </c>
      <c r="F129" s="43" t="s">
        <v>459</v>
      </c>
      <c r="G129" s="85">
        <f>H129+I129</f>
        <v>200000</v>
      </c>
      <c r="H129" s="85">
        <v>200000</v>
      </c>
      <c r="I129" s="85"/>
      <c r="J129" s="85"/>
    </row>
    <row r="130" spans="1:10" ht="37.5" customHeight="1">
      <c r="A130" s="47" t="s">
        <v>311</v>
      </c>
      <c r="B130" s="47"/>
      <c r="C130" s="47"/>
      <c r="D130" s="48" t="s">
        <v>312</v>
      </c>
      <c r="E130" s="42"/>
      <c r="F130" s="63"/>
      <c r="G130" s="87">
        <f>G131</f>
        <v>9688508</v>
      </c>
      <c r="H130" s="87">
        <f>H131</f>
        <v>4979680</v>
      </c>
      <c r="I130" s="87">
        <f>I131</f>
        <v>4708828</v>
      </c>
      <c r="J130" s="87">
        <f>J131</f>
        <v>4708828</v>
      </c>
    </row>
    <row r="131" spans="1:10" ht="46.5" customHeight="1">
      <c r="A131" s="47" t="s">
        <v>313</v>
      </c>
      <c r="B131" s="47"/>
      <c r="C131" s="47"/>
      <c r="D131" s="48" t="s">
        <v>312</v>
      </c>
      <c r="E131" s="42"/>
      <c r="F131" s="63"/>
      <c r="G131" s="87">
        <f>H131+I131</f>
        <v>9688508</v>
      </c>
      <c r="H131" s="87">
        <f>SUM(H132:H142)</f>
        <v>4979680</v>
      </c>
      <c r="I131" s="87">
        <f>SUM(I132:I142)</f>
        <v>4708828</v>
      </c>
      <c r="J131" s="87">
        <f>SUM(J132:J142)</f>
        <v>4708828</v>
      </c>
    </row>
    <row r="132" spans="1:10" ht="85.5" customHeight="1">
      <c r="A132" s="50" t="s">
        <v>532</v>
      </c>
      <c r="B132" s="50" t="s">
        <v>505</v>
      </c>
      <c r="C132" s="50" t="s">
        <v>506</v>
      </c>
      <c r="D132" s="192" t="s">
        <v>507</v>
      </c>
      <c r="E132" s="211" t="s">
        <v>545</v>
      </c>
      <c r="F132" s="43" t="s">
        <v>546</v>
      </c>
      <c r="G132" s="85">
        <f>H132</f>
        <v>24638</v>
      </c>
      <c r="H132" s="85">
        <v>24638</v>
      </c>
      <c r="I132" s="85"/>
      <c r="J132" s="85"/>
    </row>
    <row r="133" spans="1:10" ht="21" customHeight="1">
      <c r="A133" s="50" t="s">
        <v>381</v>
      </c>
      <c r="B133" s="50" t="s">
        <v>122</v>
      </c>
      <c r="C133" s="50" t="s">
        <v>119</v>
      </c>
      <c r="D133" s="40" t="s">
        <v>123</v>
      </c>
      <c r="E133" s="325" t="s">
        <v>25</v>
      </c>
      <c r="F133" s="316" t="s">
        <v>541</v>
      </c>
      <c r="G133" s="85">
        <f aca="true" t="shared" si="6" ref="G133:G142">H133+I133</f>
        <v>44480</v>
      </c>
      <c r="H133" s="85">
        <v>44480</v>
      </c>
      <c r="I133" s="85"/>
      <c r="J133" s="85"/>
    </row>
    <row r="134" spans="1:10" ht="30.75">
      <c r="A134" s="50" t="s">
        <v>315</v>
      </c>
      <c r="B134" s="50" t="s">
        <v>125</v>
      </c>
      <c r="C134" s="50" t="s">
        <v>119</v>
      </c>
      <c r="D134" s="40" t="s">
        <v>126</v>
      </c>
      <c r="E134" s="326"/>
      <c r="F134" s="316"/>
      <c r="G134" s="85">
        <f t="shared" si="6"/>
        <v>55000</v>
      </c>
      <c r="H134" s="85">
        <v>55000</v>
      </c>
      <c r="I134" s="85"/>
      <c r="J134" s="85"/>
    </row>
    <row r="135" spans="1:10" ht="20.25" customHeight="1">
      <c r="A135" s="50" t="s">
        <v>316</v>
      </c>
      <c r="B135" s="50" t="s">
        <v>131</v>
      </c>
      <c r="C135" s="50" t="s">
        <v>119</v>
      </c>
      <c r="D135" s="40" t="s">
        <v>132</v>
      </c>
      <c r="E135" s="326"/>
      <c r="F135" s="316"/>
      <c r="G135" s="85">
        <f t="shared" si="6"/>
        <v>3003640</v>
      </c>
      <c r="H135" s="85">
        <f>2039358+511184+144987</f>
        <v>2695529</v>
      </c>
      <c r="I135" s="85">
        <f aca="true" t="shared" si="7" ref="I135:I141">J135</f>
        <v>308111</v>
      </c>
      <c r="J135" s="85">
        <f>199980+108131</f>
        <v>308111</v>
      </c>
    </row>
    <row r="136" spans="1:10" ht="18" customHeight="1">
      <c r="A136" s="50" t="s">
        <v>379</v>
      </c>
      <c r="B136" s="50" t="s">
        <v>380</v>
      </c>
      <c r="C136" s="50" t="s">
        <v>119</v>
      </c>
      <c r="D136" s="40" t="s">
        <v>384</v>
      </c>
      <c r="E136" s="326"/>
      <c r="F136" s="316"/>
      <c r="G136" s="85">
        <f t="shared" si="6"/>
        <v>199000</v>
      </c>
      <c r="H136" s="85">
        <v>199000</v>
      </c>
      <c r="I136" s="85"/>
      <c r="J136" s="85"/>
    </row>
    <row r="137" spans="1:10" ht="19.5" customHeight="1">
      <c r="A137" s="50" t="s">
        <v>317</v>
      </c>
      <c r="B137" s="50" t="s">
        <v>138</v>
      </c>
      <c r="C137" s="50" t="s">
        <v>139</v>
      </c>
      <c r="D137" s="40" t="s">
        <v>140</v>
      </c>
      <c r="E137" s="326"/>
      <c r="F137" s="316"/>
      <c r="G137" s="85">
        <f t="shared" si="6"/>
        <v>122576</v>
      </c>
      <c r="H137" s="85">
        <v>122576</v>
      </c>
      <c r="I137" s="85"/>
      <c r="J137" s="85"/>
    </row>
    <row r="138" spans="1:10" ht="23.25" customHeight="1">
      <c r="A138" s="50" t="s">
        <v>376</v>
      </c>
      <c r="B138" s="50" t="s">
        <v>377</v>
      </c>
      <c r="C138" s="50" t="s">
        <v>141</v>
      </c>
      <c r="D138" s="40" t="s">
        <v>378</v>
      </c>
      <c r="E138" s="326"/>
      <c r="F138" s="316"/>
      <c r="G138" s="85">
        <f t="shared" si="6"/>
        <v>575278</v>
      </c>
      <c r="H138" s="85"/>
      <c r="I138" s="85">
        <f t="shared" si="7"/>
        <v>575278</v>
      </c>
      <c r="J138" s="85">
        <v>575278</v>
      </c>
    </row>
    <row r="139" spans="1:10" ht="21" customHeight="1">
      <c r="A139" s="50" t="s">
        <v>318</v>
      </c>
      <c r="B139" s="50" t="s">
        <v>319</v>
      </c>
      <c r="C139" s="50" t="s">
        <v>141</v>
      </c>
      <c r="D139" s="40" t="s">
        <v>320</v>
      </c>
      <c r="E139" s="326"/>
      <c r="F139" s="316"/>
      <c r="G139" s="85">
        <f t="shared" si="6"/>
        <v>2542137</v>
      </c>
      <c r="H139" s="85"/>
      <c r="I139" s="85">
        <f t="shared" si="7"/>
        <v>2542137</v>
      </c>
      <c r="J139" s="85">
        <v>2542137</v>
      </c>
    </row>
    <row r="140" spans="1:10" ht="34.5" customHeight="1">
      <c r="A140" s="50" t="s">
        <v>321</v>
      </c>
      <c r="B140" s="50" t="s">
        <v>322</v>
      </c>
      <c r="C140" s="50" t="s">
        <v>141</v>
      </c>
      <c r="D140" s="40" t="s">
        <v>323</v>
      </c>
      <c r="E140" s="326"/>
      <c r="F140" s="316"/>
      <c r="G140" s="85">
        <f t="shared" si="6"/>
        <v>93500</v>
      </c>
      <c r="H140" s="85"/>
      <c r="I140" s="85">
        <f t="shared" si="7"/>
        <v>93500</v>
      </c>
      <c r="J140" s="85">
        <v>93500</v>
      </c>
    </row>
    <row r="141" spans="1:10" ht="40.5" customHeight="1">
      <c r="A141" s="50" t="s">
        <v>324</v>
      </c>
      <c r="B141" s="50" t="s">
        <v>144</v>
      </c>
      <c r="C141" s="50" t="s">
        <v>145</v>
      </c>
      <c r="D141" s="40" t="s">
        <v>146</v>
      </c>
      <c r="E141" s="326"/>
      <c r="F141" s="316"/>
      <c r="G141" s="85">
        <f t="shared" si="6"/>
        <v>3024285</v>
      </c>
      <c r="H141" s="85">
        <f>1609406+225077</f>
        <v>1834483</v>
      </c>
      <c r="I141" s="85">
        <f t="shared" si="7"/>
        <v>1189802</v>
      </c>
      <c r="J141" s="85">
        <v>1189802</v>
      </c>
    </row>
    <row r="142" spans="1:10" ht="18" customHeight="1">
      <c r="A142" s="50" t="s">
        <v>325</v>
      </c>
      <c r="B142" s="50" t="s">
        <v>151</v>
      </c>
      <c r="C142" s="50" t="s">
        <v>142</v>
      </c>
      <c r="D142" s="40" t="s">
        <v>152</v>
      </c>
      <c r="E142" s="327"/>
      <c r="F142" s="316"/>
      <c r="G142" s="85">
        <f t="shared" si="6"/>
        <v>3974</v>
      </c>
      <c r="H142" s="95">
        <v>3974</v>
      </c>
      <c r="I142" s="85"/>
      <c r="J142" s="95"/>
    </row>
    <row r="143" spans="1:10" ht="22.5" customHeight="1">
      <c r="A143" s="47" t="s">
        <v>330</v>
      </c>
      <c r="B143" s="47"/>
      <c r="C143" s="47"/>
      <c r="D143" s="66" t="s">
        <v>331</v>
      </c>
      <c r="E143" s="62"/>
      <c r="F143" s="37"/>
      <c r="G143" s="87">
        <f>G144</f>
        <v>6009260</v>
      </c>
      <c r="H143" s="87">
        <f>H144</f>
        <v>1380198</v>
      </c>
      <c r="I143" s="87">
        <f>I144</f>
        <v>4629062</v>
      </c>
      <c r="J143" s="87">
        <f>J144</f>
        <v>4629062</v>
      </c>
    </row>
    <row r="144" spans="1:10" ht="21.75" customHeight="1">
      <c r="A144" s="47" t="s">
        <v>332</v>
      </c>
      <c r="B144" s="47"/>
      <c r="C144" s="47"/>
      <c r="D144" s="66" t="s">
        <v>331</v>
      </c>
      <c r="E144" s="62"/>
      <c r="F144" s="37"/>
      <c r="G144" s="87">
        <f>G145+G146+G147</f>
        <v>6009260</v>
      </c>
      <c r="H144" s="87">
        <f>H145+H146+H147</f>
        <v>1380198</v>
      </c>
      <c r="I144" s="87">
        <f>I145+I146+I147</f>
        <v>4629062</v>
      </c>
      <c r="J144" s="87">
        <f>J145+J146+J147</f>
        <v>4629062</v>
      </c>
    </row>
    <row r="145" spans="1:10" ht="93">
      <c r="A145" s="63">
        <v>3718881</v>
      </c>
      <c r="B145" s="63">
        <v>8881</v>
      </c>
      <c r="C145" s="67" t="s">
        <v>142</v>
      </c>
      <c r="D145" s="217" t="s">
        <v>534</v>
      </c>
      <c r="E145" s="325" t="s">
        <v>183</v>
      </c>
      <c r="F145" s="63" t="s">
        <v>540</v>
      </c>
      <c r="G145" s="85">
        <f>H145+I145</f>
        <v>4629062</v>
      </c>
      <c r="H145" s="85"/>
      <c r="I145" s="85">
        <f>J145</f>
        <v>4629062</v>
      </c>
      <c r="J145" s="85">
        <f>4629062</f>
        <v>4629062</v>
      </c>
    </row>
    <row r="146" spans="1:10" ht="93">
      <c r="A146" s="82" t="s">
        <v>491</v>
      </c>
      <c r="B146" s="50" t="s">
        <v>492</v>
      </c>
      <c r="C146" s="50" t="s">
        <v>83</v>
      </c>
      <c r="D146" s="40" t="s">
        <v>429</v>
      </c>
      <c r="E146" s="342"/>
      <c r="F146" s="63" t="s">
        <v>540</v>
      </c>
      <c r="G146" s="85">
        <f>H146+I146</f>
        <v>202048</v>
      </c>
      <c r="H146" s="85">
        <v>202048</v>
      </c>
      <c r="I146" s="85"/>
      <c r="J146" s="85"/>
    </row>
    <row r="147" spans="1:10" ht="93">
      <c r="A147" s="82" t="s">
        <v>495</v>
      </c>
      <c r="B147" s="50" t="s">
        <v>496</v>
      </c>
      <c r="C147" s="50" t="s">
        <v>83</v>
      </c>
      <c r="D147" s="40" t="s">
        <v>497</v>
      </c>
      <c r="E147" s="343"/>
      <c r="F147" s="63" t="s">
        <v>540</v>
      </c>
      <c r="G147" s="85">
        <f>H147+I147</f>
        <v>1178150</v>
      </c>
      <c r="H147" s="85">
        <f>15000+100000+190000+69650+48500+150000+200000+405000</f>
        <v>1178150</v>
      </c>
      <c r="I147" s="85"/>
      <c r="J147" s="85"/>
    </row>
    <row r="148" spans="1:10" ht="15">
      <c r="A148" s="208" t="s">
        <v>56</v>
      </c>
      <c r="B148" s="208" t="s">
        <v>56</v>
      </c>
      <c r="C148" s="208" t="s">
        <v>56</v>
      </c>
      <c r="D148" s="208" t="s">
        <v>54</v>
      </c>
      <c r="E148" s="208"/>
      <c r="F148" s="209" t="s">
        <v>56</v>
      </c>
      <c r="G148" s="87">
        <f>G18+G63+G81+G97+G107+G120+G125+G130+G143</f>
        <v>170768052</v>
      </c>
      <c r="H148" s="87">
        <f>H18+H63+H81+H97+H107+H120+H125+H130+H143</f>
        <v>109160942</v>
      </c>
      <c r="I148" s="87">
        <f>I18+I63+I81+I97+I107+I120+I125+I130+I143</f>
        <v>61607110</v>
      </c>
      <c r="J148" s="87">
        <f>J18+J63+J81+J97+J107+J120+J125+J130+J143</f>
        <v>53969438</v>
      </c>
    </row>
    <row r="151" spans="3:13" ht="22.5">
      <c r="C151" s="23" t="s">
        <v>573</v>
      </c>
      <c r="D151" s="23"/>
      <c r="E151" s="23"/>
      <c r="F151" s="94"/>
      <c r="G151" s="94"/>
      <c r="H151" s="94"/>
      <c r="I151" s="23" t="s">
        <v>574</v>
      </c>
      <c r="J151" s="94"/>
      <c r="K151" s="96"/>
      <c r="M151"/>
    </row>
    <row r="152" spans="3:10" ht="20.25">
      <c r="C152" s="94"/>
      <c r="D152" s="94"/>
      <c r="E152" s="94"/>
      <c r="F152" s="94"/>
      <c r="G152" s="94"/>
      <c r="H152" s="94"/>
      <c r="I152" s="94"/>
      <c r="J152" s="94"/>
    </row>
  </sheetData>
  <sheetProtection/>
  <mergeCells count="79">
    <mergeCell ref="E145:E147"/>
    <mergeCell ref="E89:E92"/>
    <mergeCell ref="F89:F92"/>
    <mergeCell ref="E94:E95"/>
    <mergeCell ref="F94:F95"/>
    <mergeCell ref="A22:A23"/>
    <mergeCell ref="B22:B23"/>
    <mergeCell ref="C22:C23"/>
    <mergeCell ref="A25:A29"/>
    <mergeCell ref="B25:B29"/>
    <mergeCell ref="A6:J6"/>
    <mergeCell ref="E10:E16"/>
    <mergeCell ref="J15:J16"/>
    <mergeCell ref="F10:F16"/>
    <mergeCell ref="G10:G16"/>
    <mergeCell ref="I10:J14"/>
    <mergeCell ref="A10:A16"/>
    <mergeCell ref="C10:C16"/>
    <mergeCell ref="C40:C41"/>
    <mergeCell ref="D40:D41"/>
    <mergeCell ref="D68:D70"/>
    <mergeCell ref="D46:D47"/>
    <mergeCell ref="D25:D29"/>
    <mergeCell ref="C25:C29"/>
    <mergeCell ref="D53:D58"/>
    <mergeCell ref="D22:D23"/>
    <mergeCell ref="D102:D103"/>
    <mergeCell ref="B102:B103"/>
    <mergeCell ref="C115:C116"/>
    <mergeCell ref="A40:A41"/>
    <mergeCell ref="B40:B41"/>
    <mergeCell ref="A102:A103"/>
    <mergeCell ref="C102:C103"/>
    <mergeCell ref="B68:B70"/>
    <mergeCell ref="C68:C70"/>
    <mergeCell ref="C112:C113"/>
    <mergeCell ref="D112:D113"/>
    <mergeCell ref="A112:A113"/>
    <mergeCell ref="D10:D16"/>
    <mergeCell ref="D43:D44"/>
    <mergeCell ref="A46:A47"/>
    <mergeCell ref="B46:B47"/>
    <mergeCell ref="C46:C47"/>
    <mergeCell ref="B112:B113"/>
    <mergeCell ref="D66:D67"/>
    <mergeCell ref="F87:F88"/>
    <mergeCell ref="A71:A72"/>
    <mergeCell ref="B71:B72"/>
    <mergeCell ref="D71:D72"/>
    <mergeCell ref="A66:A67"/>
    <mergeCell ref="I15:I16"/>
    <mergeCell ref="B10:B16"/>
    <mergeCell ref="C66:C67"/>
    <mergeCell ref="C71:C72"/>
    <mergeCell ref="H10:H16"/>
    <mergeCell ref="A115:A116"/>
    <mergeCell ref="B115:B116"/>
    <mergeCell ref="A127:A128"/>
    <mergeCell ref="B127:B128"/>
    <mergeCell ref="C127:C128"/>
    <mergeCell ref="D127:D128"/>
    <mergeCell ref="A43:A44"/>
    <mergeCell ref="B43:B44"/>
    <mergeCell ref="C43:C44"/>
    <mergeCell ref="A77:A78"/>
    <mergeCell ref="B77:B78"/>
    <mergeCell ref="C53:C58"/>
    <mergeCell ref="B66:B67"/>
    <mergeCell ref="C77:C78"/>
    <mergeCell ref="F133:F142"/>
    <mergeCell ref="E87:E88"/>
    <mergeCell ref="A53:A58"/>
    <mergeCell ref="B53:B58"/>
    <mergeCell ref="E83:E86"/>
    <mergeCell ref="F83:F86"/>
    <mergeCell ref="A68:A70"/>
    <mergeCell ref="E133:E142"/>
    <mergeCell ref="D115:D116"/>
    <mergeCell ref="D77:D78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2020-02-07T09:32:25Z</cp:lastPrinted>
  <dcterms:created xsi:type="dcterms:W3CDTF">2019-10-18T11:31:34Z</dcterms:created>
  <dcterms:modified xsi:type="dcterms:W3CDTF">2020-02-10T12:00:31Z</dcterms:modified>
  <cp:category/>
  <cp:version/>
  <cp:contentType/>
  <cp:contentStatus/>
</cp:coreProperties>
</file>